
<file path=[Content_Types].xml><?xml version="1.0" encoding="utf-8"?>
<Types xmlns="http://schemas.openxmlformats.org/package/2006/content-type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4.xml" ContentType="application/vnd.openxmlformats-officedocument.drawing+xml"/>
  <Override PartName="/xl/comments1.xml" ContentType="application/vnd.openxmlformats-officedocument.spreadsheetml.comments+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01"/>
  <workbookPr codeName="ThisWorkbook"/>
  <mc:AlternateContent xmlns:mc="http://schemas.openxmlformats.org/markup-compatibility/2006">
    <mc:Choice Requires="x15">
      <x15ac:absPath xmlns:x15ac="http://schemas.microsoft.com/office/spreadsheetml/2010/11/ac" url="C:\Users\bartl\OneDrive\TrendsinAutoleasing\Artikelen\"/>
    </mc:Choice>
  </mc:AlternateContent>
  <xr:revisionPtr revIDLastSave="0" documentId="8_{45A54DAC-2214-4A7E-82F3-C2D1C50031DB}" xr6:coauthVersionLast="38" xr6:coauthVersionMax="38" xr10:uidLastSave="{00000000-0000-0000-0000-000000000000}"/>
  <bookViews>
    <workbookView xWindow="0" yWindow="0" windowWidth="24000" windowHeight="9465" xr2:uid="{00000000-000D-0000-FFFF-FFFF00000000}"/>
  </bookViews>
  <sheets>
    <sheet name="0. Introductie" sheetId="23" r:id="rId1"/>
    <sheet name="1. Invoer wagenpark" sheetId="17" r:id="rId2"/>
    <sheet name="2. Invoer parameters" sheetId="18" r:id="rId3"/>
    <sheet name="3. Resultaten" sheetId="21" r:id="rId4"/>
    <sheet name="4. Analyse" sheetId="5" r:id="rId5"/>
    <sheet name="5. Vervolg" sheetId="22" r:id="rId6"/>
    <sheet name="Parameters" sheetId="12" state="veryHidden" r:id="rId7"/>
    <sheet name="Output TCO" sheetId="15" state="veryHidden" r:id="rId8"/>
    <sheet name="Input drop-down menu's" sheetId="4" state="veryHidden" r:id="rId9"/>
    <sheet name="Personenauto" sheetId="9" state="veryHidden" r:id="rId10"/>
    <sheet name="Bestelbus" sheetId="8" state="veryHidden" r:id="rId11"/>
    <sheet name="BEV" sheetId="11" state="veryHidden" r:id="rId12"/>
    <sheet name="Verkoopcijfers" sheetId="10" state="veryHidden" r:id="rId13"/>
  </sheets>
  <definedNames>
    <definedName name="_xlnm._FilterDatabase" localSheetId="11" hidden="1">BEV!$A$2:$O$21</definedName>
    <definedName name="BPM_benz_A">Parameters!$J$22</definedName>
    <definedName name="BPM_benz_B">Parameters!$J$23</definedName>
    <definedName name="BPM_benz_bestel_groot">Parameters!$J$33</definedName>
    <definedName name="BPM_benz_bestel_klein">Parameters!$J$31</definedName>
    <definedName name="BPM_benz_bestel_middel">Parameters!$J$32</definedName>
    <definedName name="BPM_benz_C">Parameters!$J$24</definedName>
    <definedName name="BPM_benz_D">Parameters!$J$25</definedName>
    <definedName name="BPM_benz_E">Parameters!$J$26</definedName>
    <definedName name="BPM_benz_F">Parameters!$J$27</definedName>
    <definedName name="BPM_benz_J">Parameters!$J$28</definedName>
    <definedName name="BPM_benz_L">Parameters!$J$29</definedName>
    <definedName name="BPM_benz_M">Parameters!$J$30</definedName>
    <definedName name="BPM_BEV">Parameters!$C$188</definedName>
    <definedName name="BPM_die_A">Parameters!$J$5</definedName>
    <definedName name="BPM_die_B">Parameters!$J$6</definedName>
    <definedName name="BPM_die_bestel_groot">Parameters!$J$16</definedName>
    <definedName name="BPM_die_bestel_klein">Parameters!$J$14</definedName>
    <definedName name="BPM_die_bestel_middel">Parameters!$J$15</definedName>
    <definedName name="BPM_die_C">Parameters!$J$7</definedName>
    <definedName name="BPM_die_D">Parameters!$J$8</definedName>
    <definedName name="BPM_die_E">Parameters!$J$9</definedName>
    <definedName name="BPM_die_F">Parameters!$J$10</definedName>
    <definedName name="BPM_die_J">Parameters!$J$11</definedName>
    <definedName name="BPM_die_L">Parameters!$J$12</definedName>
    <definedName name="BPM_die_M">Parameters!$J$13</definedName>
    <definedName name="Bruto_cat_BEV_A">Parameters!$L$39</definedName>
    <definedName name="Bruto_cat_BEV_B">Parameters!$L$40</definedName>
    <definedName name="Bruto_cat_BEV_bestel_groot">Parameters!$L$50</definedName>
    <definedName name="Bruto_cat_BEV_bestel_klein">Parameters!$L$48</definedName>
    <definedName name="Bruto_cat_BEV_bestel_middel">Parameters!$L$49</definedName>
    <definedName name="Bruto_cat_BEV_C">Parameters!$L$41</definedName>
    <definedName name="Bruto_cat_BEV_D">Parameters!$L$42</definedName>
    <definedName name="Bruto_cat_BEV_E">Parameters!$L$43</definedName>
    <definedName name="Bruto_cat_BEV_F">Parameters!$L$44</definedName>
    <definedName name="Bruto_cat_BEV_J">Parameters!$L$45</definedName>
    <definedName name="Bruto_cat_BEV_L">Parameters!$L$46</definedName>
    <definedName name="Bruto_cat_BEV_M">Parameters!$L$47</definedName>
    <definedName name="BTW">Parameters!$B$115</definedName>
    <definedName name="BTW_verrekening">'2. Invoer parameters'!$C$9</definedName>
    <definedName name="cat_prijs_net_benz_A">Personenauto!$H$25</definedName>
    <definedName name="cat_prijs_net_benz_B">Personenauto!$H$44</definedName>
    <definedName name="cat_prijs_net_benz_C">Personenauto!$H$64</definedName>
    <definedName name="cat_prijs_net_benz_D">Personenauto!$H$84</definedName>
    <definedName name="cat_prijs_net_benz_E">Personenauto!$H$104</definedName>
    <definedName name="cat_prijs_net_benz_F">Personenauto!$H$124</definedName>
    <definedName name="cat_prijs_net_benz_J">Personenauto!$H$144</definedName>
    <definedName name="cat_prijs_net_benz_L">Personenauto!$H$164</definedName>
    <definedName name="cat_prijs_net_benz_M">Personenauto!$H$184</definedName>
    <definedName name="cat_prijs_net_die_bestel_groot">Bestelbus!$K$76</definedName>
    <definedName name="cat_prijs_net_die_bestel_klein">Bestelbus!$K$28</definedName>
    <definedName name="cat_prijs_net_die_bestel_middel">Bestelbus!$K$52</definedName>
    <definedName name="cat_prijs_net_dies_A">Personenauto!$H$33</definedName>
    <definedName name="cat_prijs_net_dies_B">Personenauto!$H$53</definedName>
    <definedName name="cat_prijs_net_dies_C">Personenauto!$H$73</definedName>
    <definedName name="cat_prijs_net_dies_D">Personenauto!$H$93</definedName>
    <definedName name="cat_prijs_net_dies_E">Personenauto!$H$113</definedName>
    <definedName name="cat_prijs_net_dies_F">Personenauto!$H$133</definedName>
    <definedName name="cat_prijs_net_dies_J">Personenauto!$H$153</definedName>
    <definedName name="cat_prijs_net_dies_L">Personenauto!$H$173</definedName>
    <definedName name="cat_prijs_net_dies_M">Personenauto!$H$193</definedName>
    <definedName name="Efac_benz_TTW">Parameters!$C$82</definedName>
    <definedName name="Efac_benz_WTT">Parameters!$D$82</definedName>
    <definedName name="Efac_benz_WTW">Parameters!$B$82</definedName>
    <definedName name="Efac_die_TTW">Parameters!$C$83</definedName>
    <definedName name="Efac_die_WTT">Parameters!$D$83</definedName>
    <definedName name="Efac_die_WTW">Parameters!$B$83</definedName>
    <definedName name="Efac_elek_berekening_TTW">Parameters!$C$88</definedName>
    <definedName name="Efac_elek_berekening_WTW">Parameters!$B$88</definedName>
    <definedName name="Efac_elek_grijs_TTW">Parameters!$C$85</definedName>
    <definedName name="Efac_elek_grijs_WTT">Parameters!$D$85</definedName>
    <definedName name="Efac_elek_grijs_WTW">Parameters!$B$85</definedName>
    <definedName name="Efac_elek_groen_TTW">Parameters!$C$86</definedName>
    <definedName name="Efac_elek_groen_WTT">Parameters!$D$86</definedName>
    <definedName name="Efac_elek_groen_WTW">Parameters!$B$86</definedName>
    <definedName name="Efac_elek_mix_TTW">Parameters!$C$84</definedName>
    <definedName name="Efac_elek_mix_WTT">Parameters!$D$84</definedName>
    <definedName name="Efac_elek_mix_WTW">Parameters!$B$84</definedName>
    <definedName name="gCO2_km_benz_A">Personenauto!$E$25</definedName>
    <definedName name="gCO2_km_benz_B">Personenauto!$E$44</definedName>
    <definedName name="gCO2_km_benz_C">Personenauto!$E$64</definedName>
    <definedName name="gCO2_km_benz_D">Personenauto!$E$84</definedName>
    <definedName name="gCO2_km_benz_E">Personenauto!$E$104</definedName>
    <definedName name="gCO2_km_benz_F">Personenauto!$E$124</definedName>
    <definedName name="gCO2_km_benz_J">Personenauto!$E$144</definedName>
    <definedName name="gCO2_km_benz_L">Personenauto!$E$164</definedName>
    <definedName name="gCO2_km_benz_M">Personenauto!$E$184</definedName>
    <definedName name="gCO2_km_bestel_dies_groot">Bestelbus!$E$76</definedName>
    <definedName name="gCO2_km_bestel_dies_klein">Bestelbus!$E$28</definedName>
    <definedName name="gCO2_km_bestel_dies_middel">Bestelbus!$E$52</definedName>
    <definedName name="gCO2_km_die_A">Personenauto!$E$33</definedName>
    <definedName name="gCO2_km_die_B">Personenauto!$E$53</definedName>
    <definedName name="gCO2_km_die_C">Personenauto!$E$73</definedName>
    <definedName name="gCO2_km_die_D">Personenauto!$E$93</definedName>
    <definedName name="gCO2_km_die_E">Personenauto!$E$113</definedName>
    <definedName name="gCO2_km_die_F">Personenauto!$E$133</definedName>
    <definedName name="gCO2_km_die_J">Personenauto!$E$153</definedName>
    <definedName name="gCO2_km_die_L">Personenauto!$E$173</definedName>
    <definedName name="gCO2_km_die_M">Personenauto!$E$193</definedName>
    <definedName name="looptijd">'2. Invoer parameters'!$C$7</definedName>
    <definedName name="MIA_BEV_A">Parameters!$N$39</definedName>
    <definedName name="MIA_BEV_B">Parameters!$N$40</definedName>
    <definedName name="MIA_BEV_bestel_groot">Parameters!$N$50</definedName>
    <definedName name="MIA_BEV_bestel_klein">Parameters!$N$48</definedName>
    <definedName name="MIA_BEV_bestel_middel">Parameters!$N$49</definedName>
    <definedName name="MIA_BEV_C">Parameters!$N$41</definedName>
    <definedName name="MIA_BEV_D">Parameters!$N$42</definedName>
    <definedName name="MIA_BEV_E">Parameters!$N$43</definedName>
    <definedName name="MIA_BEV_F">Parameters!$N$44</definedName>
    <definedName name="MIA_BEV_J">Parameters!$N$45</definedName>
    <definedName name="MIA_BEV_L">Parameters!$N$46</definedName>
    <definedName name="MIA_BEV_M">Parameters!$N$47</definedName>
    <definedName name="MRB_benz_A">Personenauto!$L$25</definedName>
    <definedName name="MRB_benz_B">Personenauto!$L$44</definedName>
    <definedName name="MRB_benz_C">Personenauto!$L$64</definedName>
    <definedName name="MRB_benz_D">Personenauto!$L$84</definedName>
    <definedName name="MRB_benz_E">Personenauto!$L$104</definedName>
    <definedName name="MRB_benz_F">Personenauto!$L$124</definedName>
    <definedName name="MRB_benz_J">Personenauto!$L$144</definedName>
    <definedName name="MRB_benz_L">Personenauto!$L$164</definedName>
    <definedName name="MRB_benz_M">Personenauto!$L$184</definedName>
    <definedName name="MRB_BEV">Parameters!$B$206</definedName>
    <definedName name="MRB_die_B">Personenauto!$L$53</definedName>
    <definedName name="MRB_die_bestel_groot">Bestelbus!$L$76</definedName>
    <definedName name="MRB_die_bestel_klein">Bestelbus!$L$28</definedName>
    <definedName name="MRB_die_bestel_middel">Bestelbus!$L$52</definedName>
    <definedName name="MRB_die_C">Personenauto!$L$73</definedName>
    <definedName name="MRB_die_D">Personenauto!$L$93</definedName>
    <definedName name="MRB_die_E">Personenauto!$L$113</definedName>
    <definedName name="MRB_die_F">Personenauto!$L$133</definedName>
    <definedName name="MRB_die_J">Personenauto!$L$153</definedName>
    <definedName name="MRB_die_L">Personenauto!$L$173</definedName>
    <definedName name="MRB_die_M">Personenauto!$L$193</definedName>
    <definedName name="Netto_cat_benz_A">Parameters!$I$22</definedName>
    <definedName name="Netto_cat_benz_B">Parameters!$I$23</definedName>
    <definedName name="Netto_cat_benz_C">Parameters!$I$24</definedName>
    <definedName name="Netto_cat_benz_D">Parameters!$I$25</definedName>
    <definedName name="Netto_cat_benz_E">Parameters!$I$26</definedName>
    <definedName name="Netto_cat_benz_F">Parameters!$I$27</definedName>
    <definedName name="Netto_cat_benz_J">Parameters!$I$28</definedName>
    <definedName name="Netto_cat_benz_L">Parameters!$I$29</definedName>
    <definedName name="Netto_cat_benz_M">Parameters!$I$30</definedName>
    <definedName name="Netto_cat_bestel_groot">Parameters!$I$33</definedName>
    <definedName name="Netto_cat_bestel_klein">Parameters!$I$31</definedName>
    <definedName name="Netto_cat_bestel_middel">Parameters!$I$32</definedName>
    <definedName name="Netto_cat_BEV_A">Parameters!$I$39</definedName>
    <definedName name="Netto_cat_BEV_B">Parameters!$I$40</definedName>
    <definedName name="Netto_cat_BEV_bestel_groot">Parameters!$I$50</definedName>
    <definedName name="Netto_cat_BEV_bestel_klein">Parameters!$I$48</definedName>
    <definedName name="Netto_cat_BEV_bestel_middel">Parameters!$I$49</definedName>
    <definedName name="Netto_cat_BEV_C">Parameters!$I$41</definedName>
    <definedName name="Netto_cat_BEV_D">Parameters!$I$42</definedName>
    <definedName name="Netto_cat_BEV_E">Parameters!$I$43</definedName>
    <definedName name="Netto_cat_BEV_F">Parameters!$I$44</definedName>
    <definedName name="Netto_cat_BEV_J">Parameters!$I$45</definedName>
    <definedName name="Netto_cat_BEV_L">Parameters!$I$46</definedName>
    <definedName name="Netto_cat_BEV_M">Parameters!$I$47</definedName>
    <definedName name="Netto_cat_die_A">Parameters!$I$5</definedName>
    <definedName name="Netto_cat_die_B">Parameters!$I$6</definedName>
    <definedName name="Netto_cat_die_bestel_groot">Parameters!$I$16</definedName>
    <definedName name="Netto_cat_die_bestel_klein">Parameters!$I$14</definedName>
    <definedName name="Netto_cat_die_bestel_middel">Parameters!$I$15</definedName>
    <definedName name="Netto_cat_die_C">Parameters!$I$7</definedName>
    <definedName name="Netto_cat_die_D">Parameters!$I$8</definedName>
    <definedName name="Netto_cat_die_E">Parameters!$I$9</definedName>
    <definedName name="Netto_cat_die_F">Parameters!$I$10</definedName>
    <definedName name="Netto_cat_die_J">Parameters!$I$11</definedName>
    <definedName name="Netto_cat_die_L">Parameters!$I$12</definedName>
    <definedName name="Netto_cat_die_M">Parameters!$I$13</definedName>
    <definedName name="Onderh_benz_A">Parameters!$R$22</definedName>
    <definedName name="Onderh_benz_B">Parameters!$R$23</definedName>
    <definedName name="Onderh_benz_C">Parameters!$R$24</definedName>
    <definedName name="Onderh_benz_D">Parameters!$R$25</definedName>
    <definedName name="Onderh_benz_E">Parameters!$R$26</definedName>
    <definedName name="Onderh_benz_F">Parameters!$R$27</definedName>
    <definedName name="Onderh_benz_J">Parameters!$R$28</definedName>
    <definedName name="Onderh_benz_L">Parameters!$R$29</definedName>
    <definedName name="Onderh_benz_M">Parameters!$R$30</definedName>
    <definedName name="Onderh_BEV_A">Parameters!$R$39</definedName>
    <definedName name="Onderh_BEV_B">Parameters!$R$40</definedName>
    <definedName name="Onderh_BEV_bestel_groot">Parameters!$R$50</definedName>
    <definedName name="Onderh_BEV_bestel_klein">Parameters!$R$48</definedName>
    <definedName name="Onderh_BEV_bestel_middel">Parameters!$R$49</definedName>
    <definedName name="Onderh_BEV_C">Parameters!$R$41</definedName>
    <definedName name="Onderh_BEV_D">Parameters!$R$42</definedName>
    <definedName name="Onderh_BEV_E">Parameters!$R$43</definedName>
    <definedName name="Onderh_BEV_F">Parameters!$R$44</definedName>
    <definedName name="Onderh_BEV_J">Parameters!$R$45</definedName>
    <definedName name="Onderh_BEV_L">Parameters!$R$46</definedName>
    <definedName name="Onderh_BEV_M">Parameters!$R$47</definedName>
    <definedName name="Onderh_die_B">Parameters!$R$6</definedName>
    <definedName name="Onderh_die_bestel_groot">Parameters!$R$16</definedName>
    <definedName name="Onderh_die_bestel_klein">Parameters!$R$14</definedName>
    <definedName name="Onderh_die_bestel_middel">Parameters!$R$15</definedName>
    <definedName name="Onderh_die_C">Parameters!$R$7</definedName>
    <definedName name="Onderh_die_D">Parameters!$R$8</definedName>
    <definedName name="Onderh_die_E">Parameters!$R$9</definedName>
    <definedName name="Onderh_die_F">Parameters!$R$10</definedName>
    <definedName name="Onderh_die_J">Parameters!$R$11</definedName>
    <definedName name="Onderh_die_L">Parameters!$R$12</definedName>
    <definedName name="Onderh_die_M">Parameters!$R$13</definedName>
    <definedName name="Onderh_dies_A">Parameters!$R$5</definedName>
    <definedName name="prijs_benz">Parameters!$B$118</definedName>
    <definedName name="prijs_die">Parameters!$B$119</definedName>
    <definedName name="prijs_elek_berekening">'2. Invoer parameters'!$C$82</definedName>
    <definedName name="prijs_elek_kantoor">Parameters!$B$122</definedName>
    <definedName name="Rest_1">Parameters!$B$62</definedName>
    <definedName name="Rest_10">Parameters!$B$71</definedName>
    <definedName name="Rest_2">Parameters!$B$63</definedName>
    <definedName name="Rest_3">Parameters!$B$64</definedName>
    <definedName name="Rest_4">Parameters!$B$65</definedName>
    <definedName name="Rest_5">Parameters!$B$66</definedName>
    <definedName name="Rest_6">Parameters!$B$67</definedName>
    <definedName name="Rest_7">Parameters!$B$68</definedName>
    <definedName name="Rest_8">Parameters!$B$69</definedName>
    <definedName name="Rest_9">Parameters!$B$70</definedName>
    <definedName name="Rest_perc">'2. Invoer parameters'!$C$27</definedName>
    <definedName name="verbr_benz_A">Personenauto!$F$25</definedName>
    <definedName name="verbr_benz_B">Personenauto!$F$44</definedName>
    <definedName name="verbr_benz_C">Personenauto!$F$64</definedName>
    <definedName name="verbr_benz_D">Personenauto!$F$84</definedName>
    <definedName name="verbr_benz_E">Personenauto!$F$104</definedName>
    <definedName name="verbr_benz_F">Personenauto!$F$124</definedName>
    <definedName name="verbr_benz_J">Personenauto!$F$144</definedName>
    <definedName name="verbr_benz_L">Personenauto!$F$164</definedName>
    <definedName name="verbr_benz_M">Personenauto!$F$184</definedName>
    <definedName name="verbr_BEV_A">Parameters!$E$39</definedName>
    <definedName name="verbr_BEV_B">Parameters!$E$40</definedName>
    <definedName name="verbr_BEV_bestel_groot">Parameters!$E$50</definedName>
    <definedName name="verbr_BEV_bestel_klein">Parameters!$E$48</definedName>
    <definedName name="verbr_BEV_bestel_middel">Parameters!$E$49</definedName>
    <definedName name="verbr_BEV_C">Parameters!$E$41</definedName>
    <definedName name="verbr_BEV_D">Parameters!$E$42</definedName>
    <definedName name="verbr_BEV_E">Parameters!$E$43</definedName>
    <definedName name="verbr_BEV_F">Parameters!$E$44</definedName>
    <definedName name="verbr_BEV_J">Parameters!$E$45</definedName>
    <definedName name="verbr_BEV_L">Parameters!$E$46</definedName>
    <definedName name="verbr_BEV_M">Parameters!$E$47</definedName>
    <definedName name="verbr_die_A">Personenauto!$F$33</definedName>
    <definedName name="verbr_die_B">Personenauto!$F$53</definedName>
    <definedName name="verbr_die_bestel_groot">Bestelbus!$F$76</definedName>
    <definedName name="verbr_die_bestel_klein">Bestelbus!$F$28</definedName>
    <definedName name="verbr_die_bestel_middel">Bestelbus!$F$52</definedName>
    <definedName name="verbr_die_C">Personenauto!$F$73</definedName>
    <definedName name="verbr_die_D">Personenauto!$F$93</definedName>
    <definedName name="verbr_die_E">Personenauto!$F$113</definedName>
    <definedName name="verbr_die_F">Personenauto!$F$133</definedName>
    <definedName name="verbr_die_J">Personenauto!$F$153</definedName>
    <definedName name="verbr_die_L">Personenauto!$F$173</definedName>
    <definedName name="verbr_die_M">Personenauto!$F$193</definedName>
    <definedName name="verz_benz_A">Parameters!$T$22</definedName>
    <definedName name="verz_benz_B">Parameters!$T$23</definedName>
    <definedName name="verz_benz_C">Parameters!$T$24</definedName>
    <definedName name="verz_benz_D">Parameters!$T$25</definedName>
    <definedName name="verz_benz_E">Parameters!$T$26</definedName>
    <definedName name="verz_benz_F">Parameters!$T$27</definedName>
    <definedName name="verz_benz_J">Parameters!$T$28</definedName>
    <definedName name="verz_benz_L">Parameters!$T$29</definedName>
    <definedName name="verz_benz_M">Parameters!$T$30</definedName>
    <definedName name="verz_BEV_A">Parameters!$T$39</definedName>
    <definedName name="verz_BEV_B">Parameters!$T$40</definedName>
    <definedName name="verz_BEV_bestel_groot">Parameters!$T$50</definedName>
    <definedName name="verz_BEV_bestel_klein">Parameters!$T$48</definedName>
    <definedName name="verz_BEV_bestel_middel">Parameters!$T$49</definedName>
    <definedName name="verz_BEV_C">Parameters!$T$41</definedName>
    <definedName name="verz_BEV_D">Parameters!$T$42</definedName>
    <definedName name="verz_BEV_E">Parameters!$T$43</definedName>
    <definedName name="verz_BEV_F">Parameters!$T$44</definedName>
    <definedName name="verz_BEV_J">Parameters!$T$45</definedName>
    <definedName name="verz_BEV_L">Parameters!$T$46</definedName>
    <definedName name="verz_BEV_M">Parameters!$T$47</definedName>
    <definedName name="verz_die_A">Parameters!$T$5</definedName>
    <definedName name="verz_die_B">Parameters!$T$6</definedName>
    <definedName name="verz_die_bestel_groot">Parameters!$T$16</definedName>
    <definedName name="verz_die_bestel_klein">Parameters!$T$14</definedName>
    <definedName name="verz_die_bestel_middel">Parameters!$T$15</definedName>
    <definedName name="verz_die_C">Parameters!$T$7</definedName>
    <definedName name="verz_die_D">Parameters!$T$8</definedName>
    <definedName name="verz_die_E">Parameters!$T$9</definedName>
    <definedName name="verz_die_F">Parameters!$T$10</definedName>
    <definedName name="verz_die_J">Parameters!$T$11</definedName>
    <definedName name="verz_die_L">Parameters!$T$12</definedName>
    <definedName name="verz_die_M">Parameters!$T$13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6" i="17" l="1"/>
  <c r="D16" i="17"/>
  <c r="F16" i="17"/>
  <c r="C14" i="18" l="1"/>
  <c r="H16" i="17" l="1"/>
  <c r="C82" i="18"/>
  <c r="W3" i="15" l="1"/>
  <c r="L6" i="17" l="1"/>
  <c r="R42" i="12" l="1"/>
  <c r="C27" i="18" l="1"/>
  <c r="AK7" i="15" l="1"/>
  <c r="AC7" i="15"/>
  <c r="AD7" i="15"/>
  <c r="W4" i="15"/>
  <c r="W5" i="15"/>
  <c r="W6" i="15"/>
  <c r="W8" i="15"/>
  <c r="W9" i="15"/>
  <c r="W10" i="15"/>
  <c r="W11" i="15"/>
  <c r="W13" i="15"/>
  <c r="W14" i="15"/>
  <c r="W15" i="15"/>
  <c r="W16" i="15"/>
  <c r="W18" i="15"/>
  <c r="W19" i="15"/>
  <c r="W20" i="15"/>
  <c r="W21" i="15"/>
  <c r="W23" i="15"/>
  <c r="W24" i="15"/>
  <c r="W25" i="15"/>
  <c r="W26" i="15"/>
  <c r="W28" i="15"/>
  <c r="W29" i="15"/>
  <c r="W30" i="15"/>
  <c r="W31" i="15"/>
  <c r="W33" i="15"/>
  <c r="W34" i="15"/>
  <c r="W35" i="15"/>
  <c r="W36" i="15"/>
  <c r="W38" i="15"/>
  <c r="W39" i="15"/>
  <c r="W40" i="15"/>
  <c r="W41" i="15"/>
  <c r="W43" i="15"/>
  <c r="W44" i="15"/>
  <c r="W45" i="15"/>
  <c r="W46" i="15"/>
  <c r="W48" i="15"/>
  <c r="W49" i="15"/>
  <c r="W50" i="15"/>
  <c r="W51" i="15"/>
  <c r="W53" i="15"/>
  <c r="W54" i="15"/>
  <c r="W55" i="15"/>
  <c r="W56" i="15"/>
  <c r="K16" i="17"/>
  <c r="J16" i="17"/>
  <c r="I16" i="17"/>
  <c r="G16" i="17"/>
  <c r="L15" i="17"/>
  <c r="L14" i="17"/>
  <c r="L13" i="17"/>
  <c r="L11" i="17"/>
  <c r="L10" i="17"/>
  <c r="L9" i="17"/>
  <c r="L8" i="17"/>
  <c r="L7" i="17"/>
  <c r="L5" i="17"/>
  <c r="L4" i="17"/>
  <c r="G40" i="12"/>
  <c r="G41" i="12"/>
  <c r="G42" i="12"/>
  <c r="G43" i="12"/>
  <c r="G44" i="12"/>
  <c r="G45" i="12"/>
  <c r="G46" i="12"/>
  <c r="G47" i="12"/>
  <c r="G48" i="12"/>
  <c r="G49" i="12"/>
  <c r="G50" i="12"/>
  <c r="G39" i="12"/>
  <c r="F40" i="12"/>
  <c r="F41" i="12"/>
  <c r="F42" i="12"/>
  <c r="F43" i="12"/>
  <c r="F44" i="12"/>
  <c r="F45" i="12"/>
  <c r="F46" i="12"/>
  <c r="F47" i="12"/>
  <c r="F48" i="12"/>
  <c r="F49" i="12"/>
  <c r="F50" i="12"/>
  <c r="F39" i="12"/>
  <c r="F184" i="9"/>
  <c r="E30" i="12" s="1"/>
  <c r="F164" i="9"/>
  <c r="E29" i="12"/>
  <c r="E49" i="12"/>
  <c r="K49" i="12"/>
  <c r="L49" i="12"/>
  <c r="T49" i="12"/>
  <c r="Q43" i="12"/>
  <c r="E49" i="18"/>
  <c r="E51" i="18"/>
  <c r="E52" i="18"/>
  <c r="E48" i="18"/>
  <c r="E47" i="18"/>
  <c r="N46" i="12"/>
  <c r="B266" i="12"/>
  <c r="C38" i="18"/>
  <c r="C88" i="12"/>
  <c r="B88" i="12"/>
  <c r="R6" i="12"/>
  <c r="Q40" i="12"/>
  <c r="Q48" i="12"/>
  <c r="Q39" i="12"/>
  <c r="Q41" i="12"/>
  <c r="Q45" i="12"/>
  <c r="Q49" i="12"/>
  <c r="Q42" i="12"/>
  <c r="Q46" i="12"/>
  <c r="Q50" i="12"/>
  <c r="Q47" i="12"/>
  <c r="C219" i="12"/>
  <c r="C236" i="12"/>
  <c r="B68" i="12"/>
  <c r="B69" i="12"/>
  <c r="B70" i="12"/>
  <c r="B71" i="12"/>
  <c r="B67" i="12"/>
  <c r="B64" i="12"/>
  <c r="B65" i="12"/>
  <c r="S12" i="12"/>
  <c r="B63" i="12"/>
  <c r="E66" i="12"/>
  <c r="D63" i="12"/>
  <c r="D64" i="12"/>
  <c r="D65" i="12"/>
  <c r="D66" i="12"/>
  <c r="D62" i="12"/>
  <c r="E62" i="12"/>
  <c r="E63" i="12"/>
  <c r="E64" i="12"/>
  <c r="E65" i="12"/>
  <c r="I42" i="12"/>
  <c r="N42" i="12"/>
  <c r="I41" i="12"/>
  <c r="K42" i="12" s="1"/>
  <c r="L42" i="12" s="1"/>
  <c r="T42" i="12" s="1"/>
  <c r="E42" i="12"/>
  <c r="E41" i="12"/>
  <c r="X42" i="12"/>
  <c r="X41" i="12"/>
  <c r="W42" i="12"/>
  <c r="W41" i="12"/>
  <c r="T45" i="12"/>
  <c r="R13" i="12"/>
  <c r="R12" i="12"/>
  <c r="R11" i="12"/>
  <c r="R9" i="12"/>
  <c r="R8" i="12"/>
  <c r="R7" i="12"/>
  <c r="R29" i="12"/>
  <c r="R28" i="12"/>
  <c r="R26" i="12"/>
  <c r="R25" i="12"/>
  <c r="R24" i="12"/>
  <c r="R23" i="12"/>
  <c r="R22" i="12"/>
  <c r="R30" i="12"/>
  <c r="S42" i="12"/>
  <c r="B223" i="12"/>
  <c r="R14" i="12" s="1"/>
  <c r="D223" i="12"/>
  <c r="R16" i="12" s="1"/>
  <c r="B224" i="12"/>
  <c r="R48" i="12"/>
  <c r="C224" i="12"/>
  <c r="R49" i="12" s="1"/>
  <c r="S9" i="12"/>
  <c r="S16" i="12"/>
  <c r="D224" i="12"/>
  <c r="R50" i="12" s="1"/>
  <c r="C223" i="12"/>
  <c r="R15" i="12"/>
  <c r="R47" i="12"/>
  <c r="R46" i="12"/>
  <c r="R44" i="12"/>
  <c r="R43" i="12"/>
  <c r="R41" i="12"/>
  <c r="R40" i="12"/>
  <c r="R39" i="12"/>
  <c r="F25" i="9"/>
  <c r="E22" i="12" s="1"/>
  <c r="R10" i="12"/>
  <c r="R27" i="12"/>
  <c r="D56" i="15"/>
  <c r="D55" i="15"/>
  <c r="D54" i="15"/>
  <c r="D53" i="15"/>
  <c r="D51" i="15"/>
  <c r="D50" i="15"/>
  <c r="D49" i="15"/>
  <c r="D48" i="15"/>
  <c r="D46" i="15"/>
  <c r="D45" i="15"/>
  <c r="D44" i="15"/>
  <c r="D43" i="15"/>
  <c r="D41" i="15"/>
  <c r="D40" i="15"/>
  <c r="D39" i="15"/>
  <c r="D38" i="15"/>
  <c r="D36" i="15"/>
  <c r="D35" i="15"/>
  <c r="D34" i="15"/>
  <c r="D33" i="15"/>
  <c r="D31" i="15"/>
  <c r="D30" i="15"/>
  <c r="D29" i="15"/>
  <c r="D28" i="15"/>
  <c r="D26" i="15"/>
  <c r="D25" i="15"/>
  <c r="D24" i="15"/>
  <c r="D23" i="15"/>
  <c r="D21" i="15"/>
  <c r="D20" i="15"/>
  <c r="D19" i="15"/>
  <c r="D18" i="15"/>
  <c r="D16" i="15"/>
  <c r="D15" i="15"/>
  <c r="D14" i="15"/>
  <c r="D13" i="15"/>
  <c r="D11" i="15"/>
  <c r="D10" i="15"/>
  <c r="D9" i="15"/>
  <c r="D8" i="15"/>
  <c r="L76" i="8"/>
  <c r="P16" i="12" s="1"/>
  <c r="L52" i="8"/>
  <c r="P15" i="12"/>
  <c r="L28" i="8"/>
  <c r="P14" i="12" s="1"/>
  <c r="L193" i="9"/>
  <c r="P13" i="12"/>
  <c r="L53" i="9"/>
  <c r="P6" i="12" s="1"/>
  <c r="C24" i="5"/>
  <c r="E124" i="9"/>
  <c r="C27" i="12"/>
  <c r="J27" i="12" s="1"/>
  <c r="I184" i="9"/>
  <c r="E193" i="9"/>
  <c r="C13" i="12"/>
  <c r="J13" i="12" s="1"/>
  <c r="H184" i="9"/>
  <c r="I30" i="12"/>
  <c r="H164" i="9"/>
  <c r="I29" i="12" s="1"/>
  <c r="K29" i="12" s="1"/>
  <c r="H144" i="9"/>
  <c r="I28" i="12"/>
  <c r="H124" i="9"/>
  <c r="I27" i="12" s="1"/>
  <c r="L184" i="9"/>
  <c r="P30" i="12"/>
  <c r="L164" i="9"/>
  <c r="P29" i="12" s="1"/>
  <c r="L144" i="9"/>
  <c r="P28" i="12"/>
  <c r="L124" i="9"/>
  <c r="P27" i="12" s="1"/>
  <c r="L173" i="9"/>
  <c r="P12" i="12"/>
  <c r="L153" i="9"/>
  <c r="P11" i="12" s="1"/>
  <c r="L133" i="9"/>
  <c r="P10" i="12"/>
  <c r="L113" i="9"/>
  <c r="P9" i="12" s="1"/>
  <c r="L93" i="9"/>
  <c r="P8" i="12"/>
  <c r="H193" i="9"/>
  <c r="I13" i="12" s="1"/>
  <c r="K13" i="12" s="1"/>
  <c r="H173" i="9"/>
  <c r="I12" i="12"/>
  <c r="H153" i="9"/>
  <c r="I11" i="12" s="1"/>
  <c r="H133" i="9"/>
  <c r="I10" i="12"/>
  <c r="F144" i="9"/>
  <c r="E28" i="12" s="1"/>
  <c r="F124" i="9"/>
  <c r="E27" i="12"/>
  <c r="E184" i="9"/>
  <c r="C30" i="12" s="1"/>
  <c r="J30" i="12" s="1"/>
  <c r="E164" i="9"/>
  <c r="C29" i="12"/>
  <c r="J29" i="12" s="1"/>
  <c r="E144" i="9"/>
  <c r="C28" i="12"/>
  <c r="J28" i="12"/>
  <c r="F193" i="9"/>
  <c r="E13" i="12" s="1"/>
  <c r="D13" i="12" s="1"/>
  <c r="F173" i="9"/>
  <c r="E12" i="12"/>
  <c r="F153" i="9"/>
  <c r="E11" i="12" s="1"/>
  <c r="D11" i="12" s="1"/>
  <c r="F133" i="9"/>
  <c r="E10" i="12"/>
  <c r="E173" i="9"/>
  <c r="C12" i="12" s="1"/>
  <c r="J12" i="12" s="1"/>
  <c r="E153" i="9"/>
  <c r="C11" i="12" s="1"/>
  <c r="J11" i="12" s="1"/>
  <c r="E133" i="9"/>
  <c r="C10" i="12"/>
  <c r="J10" i="12" s="1"/>
  <c r="L10" i="12" s="1"/>
  <c r="T10" i="12" s="1"/>
  <c r="J188" i="9"/>
  <c r="K188" i="9"/>
  <c r="J189" i="9"/>
  <c r="J193" i="9" s="1"/>
  <c r="J190" i="9"/>
  <c r="K190" i="9"/>
  <c r="J191" i="9"/>
  <c r="K191" i="9" s="1"/>
  <c r="I193" i="9"/>
  <c r="J179" i="9"/>
  <c r="K179" i="9"/>
  <c r="J180" i="9"/>
  <c r="J184" i="9" s="1"/>
  <c r="K180" i="9"/>
  <c r="K184" i="9" s="1"/>
  <c r="J181" i="9"/>
  <c r="K181" i="9"/>
  <c r="J182" i="9"/>
  <c r="K182" i="9"/>
  <c r="J168" i="9"/>
  <c r="K168" i="9"/>
  <c r="K173" i="9" s="1"/>
  <c r="J169" i="9"/>
  <c r="K169" i="9"/>
  <c r="J170" i="9"/>
  <c r="K170" i="9"/>
  <c r="J171" i="9"/>
  <c r="K171" i="9"/>
  <c r="J173" i="9"/>
  <c r="I173" i="9"/>
  <c r="J159" i="9"/>
  <c r="K159" i="9"/>
  <c r="J160" i="9"/>
  <c r="J164" i="9" s="1"/>
  <c r="J161" i="9"/>
  <c r="K161" i="9"/>
  <c r="J162" i="9"/>
  <c r="K162" i="9" s="1"/>
  <c r="I164" i="9"/>
  <c r="J148" i="9"/>
  <c r="K148" i="9"/>
  <c r="K153" i="9" s="1"/>
  <c r="J149" i="9"/>
  <c r="J153" i="9" s="1"/>
  <c r="K149" i="9"/>
  <c r="J150" i="9"/>
  <c r="K150" i="9"/>
  <c r="J151" i="9"/>
  <c r="K151" i="9"/>
  <c r="I153" i="9"/>
  <c r="J139" i="9"/>
  <c r="K139" i="9" s="1"/>
  <c r="K144" i="9" s="1"/>
  <c r="J140" i="9"/>
  <c r="K140" i="9"/>
  <c r="J141" i="9"/>
  <c r="K141" i="9" s="1"/>
  <c r="J142" i="9"/>
  <c r="K142" i="9"/>
  <c r="I144" i="9"/>
  <c r="J128" i="9"/>
  <c r="K128" i="9"/>
  <c r="K133" i="9" s="1"/>
  <c r="J129" i="9"/>
  <c r="K129" i="9"/>
  <c r="J130" i="9"/>
  <c r="K130" i="9"/>
  <c r="J131" i="9"/>
  <c r="K131" i="9"/>
  <c r="J133" i="9"/>
  <c r="I133" i="9"/>
  <c r="I124" i="9"/>
  <c r="J119" i="9"/>
  <c r="J120" i="9"/>
  <c r="J124" i="9" s="1"/>
  <c r="J121" i="9"/>
  <c r="J122" i="9"/>
  <c r="K119" i="9"/>
  <c r="K121" i="9"/>
  <c r="K122" i="9"/>
  <c r="I113" i="9"/>
  <c r="J108" i="9"/>
  <c r="J109" i="9"/>
  <c r="J113" i="9" s="1"/>
  <c r="J110" i="9"/>
  <c r="K110" i="9" s="1"/>
  <c r="J111" i="9"/>
  <c r="K108" i="9"/>
  <c r="K109" i="9"/>
  <c r="K111" i="9"/>
  <c r="I104" i="9"/>
  <c r="J99" i="9"/>
  <c r="J100" i="9"/>
  <c r="J101" i="9"/>
  <c r="J104" i="9" s="1"/>
  <c r="J102" i="9"/>
  <c r="K102" i="9" s="1"/>
  <c r="K99" i="9"/>
  <c r="K100" i="9"/>
  <c r="K104" i="9" s="1"/>
  <c r="K101" i="9"/>
  <c r="H113" i="9"/>
  <c r="H104" i="9"/>
  <c r="G193" i="9"/>
  <c r="G184" i="9"/>
  <c r="G173" i="9"/>
  <c r="G164" i="9"/>
  <c r="G153" i="9"/>
  <c r="G144" i="9"/>
  <c r="G133" i="9"/>
  <c r="G124" i="9"/>
  <c r="L104" i="9"/>
  <c r="G113" i="9"/>
  <c r="G104" i="9"/>
  <c r="I44" i="12"/>
  <c r="N44" i="12" s="1"/>
  <c r="I43" i="12"/>
  <c r="N43" i="12"/>
  <c r="G53" i="15" a="1"/>
  <c r="G56" i="15" s="1"/>
  <c r="K56" i="15" s="1"/>
  <c r="G43" i="15" a="1"/>
  <c r="F53" i="15" a="1"/>
  <c r="F53" i="15" s="1"/>
  <c r="F48" i="15" a="1"/>
  <c r="F43" i="15" a="1"/>
  <c r="F43" i="15" s="1"/>
  <c r="F38" i="15" a="1"/>
  <c r="F38" i="15" s="1"/>
  <c r="Z53" i="15" s="1"/>
  <c r="F33" i="15" a="1"/>
  <c r="F33" i="15" s="1"/>
  <c r="F28" i="15" a="1"/>
  <c r="F30" i="15" s="1"/>
  <c r="G48" i="15" a="1"/>
  <c r="G48" i="15" s="1"/>
  <c r="K48" i="15" s="1"/>
  <c r="G38" i="15" a="1"/>
  <c r="G38" i="15" s="1"/>
  <c r="G33" i="15" a="1"/>
  <c r="G33" i="15" s="1"/>
  <c r="G28" i="15" a="1"/>
  <c r="F23" i="15" a="1"/>
  <c r="F23" i="15" s="1"/>
  <c r="G23" i="15" a="1"/>
  <c r="G23" i="15" s="1"/>
  <c r="F18" i="15" a="1"/>
  <c r="F18" i="15" s="1"/>
  <c r="G18" i="15" a="1"/>
  <c r="G19" i="15" s="1"/>
  <c r="F13" i="15" a="1"/>
  <c r="F15" i="15" s="1"/>
  <c r="G13" i="15" a="1"/>
  <c r="G13" i="15" s="1"/>
  <c r="F8" i="15" a="1"/>
  <c r="F10" i="15" s="1"/>
  <c r="G8" i="15" a="1"/>
  <c r="F3" i="15" a="1"/>
  <c r="F3" i="15" s="1"/>
  <c r="G3" i="15" a="1"/>
  <c r="G3" i="15" s="1"/>
  <c r="F53" i="9"/>
  <c r="F44" i="9"/>
  <c r="F93" i="9"/>
  <c r="E8" i="12" s="1"/>
  <c r="D8" i="12" s="1"/>
  <c r="F84" i="9"/>
  <c r="F28" i="8"/>
  <c r="F52" i="8"/>
  <c r="F73" i="9"/>
  <c r="E7" i="12" s="1"/>
  <c r="D7" i="12" s="1"/>
  <c r="F64" i="9"/>
  <c r="F113" i="9"/>
  <c r="F104" i="9"/>
  <c r="F76" i="8"/>
  <c r="L25" i="9"/>
  <c r="L44" i="9"/>
  <c r="L84" i="9"/>
  <c r="L73" i="9"/>
  <c r="P7" i="12" s="1"/>
  <c r="H25" i="9"/>
  <c r="I22" i="12" s="1"/>
  <c r="K22" i="12" s="1"/>
  <c r="I50" i="12"/>
  <c r="N50" i="12"/>
  <c r="X49" i="12"/>
  <c r="W49" i="12"/>
  <c r="F68" i="11"/>
  <c r="F69" i="11"/>
  <c r="F72" i="11" s="1"/>
  <c r="G51" i="11" s="1"/>
  <c r="F70" i="11"/>
  <c r="F71" i="11"/>
  <c r="X50" i="12"/>
  <c r="I53" i="11"/>
  <c r="M50" i="11"/>
  <c r="M49" i="11"/>
  <c r="M48" i="11"/>
  <c r="J48" i="11" s="1"/>
  <c r="M47" i="11"/>
  <c r="M51" i="11"/>
  <c r="M52" i="11"/>
  <c r="N52" i="11" s="1"/>
  <c r="F22" i="12"/>
  <c r="F6" i="12"/>
  <c r="F7" i="12"/>
  <c r="F8" i="12"/>
  <c r="F9" i="12"/>
  <c r="F10" i="12"/>
  <c r="D10" i="12"/>
  <c r="F11" i="12"/>
  <c r="F12" i="12"/>
  <c r="D12" i="12"/>
  <c r="F13" i="12"/>
  <c r="F14" i="12"/>
  <c r="F15" i="12"/>
  <c r="F16" i="12"/>
  <c r="F23" i="12"/>
  <c r="F24" i="12"/>
  <c r="F25" i="12"/>
  <c r="F26" i="12"/>
  <c r="F27" i="12"/>
  <c r="D27" i="12"/>
  <c r="F28" i="12"/>
  <c r="F29" i="12"/>
  <c r="D29" i="12"/>
  <c r="F30" i="12"/>
  <c r="G23" i="12"/>
  <c r="G24" i="12"/>
  <c r="G25" i="12"/>
  <c r="G26" i="12"/>
  <c r="G27" i="12"/>
  <c r="G28" i="12"/>
  <c r="G29" i="12"/>
  <c r="G30" i="12"/>
  <c r="G22" i="12"/>
  <c r="G7" i="12"/>
  <c r="G8" i="12"/>
  <c r="G9" i="12"/>
  <c r="G10" i="12"/>
  <c r="G11" i="12"/>
  <c r="G12" i="12"/>
  <c r="G13" i="12"/>
  <c r="G14" i="12"/>
  <c r="G15" i="12"/>
  <c r="G16" i="12"/>
  <c r="G6" i="12"/>
  <c r="I51" i="11"/>
  <c r="E48" i="12"/>
  <c r="X48" i="12"/>
  <c r="W48" i="12"/>
  <c r="J50" i="11"/>
  <c r="K50" i="11" s="1"/>
  <c r="J49" i="11"/>
  <c r="K49" i="11"/>
  <c r="K3" i="11"/>
  <c r="K47" i="11"/>
  <c r="E47" i="12"/>
  <c r="E46" i="12"/>
  <c r="E44" i="12"/>
  <c r="E43" i="12"/>
  <c r="E40" i="12"/>
  <c r="E39" i="12"/>
  <c r="I47" i="12"/>
  <c r="N47" i="12"/>
  <c r="X47" i="12"/>
  <c r="W47" i="12"/>
  <c r="K21" i="11"/>
  <c r="M21" i="11"/>
  <c r="N21" i="11"/>
  <c r="X46" i="12"/>
  <c r="W46" i="12"/>
  <c r="M18" i="11"/>
  <c r="N18" i="11"/>
  <c r="K18" i="11"/>
  <c r="X43" i="12"/>
  <c r="X44" i="12"/>
  <c r="W43" i="12"/>
  <c r="W44" i="12"/>
  <c r="I39" i="12"/>
  <c r="N39" i="12"/>
  <c r="X39" i="12"/>
  <c r="W39" i="12"/>
  <c r="X40" i="12"/>
  <c r="W40" i="12"/>
  <c r="I40" i="12"/>
  <c r="N40" i="12"/>
  <c r="K4" i="11"/>
  <c r="K5" i="11"/>
  <c r="K6" i="11"/>
  <c r="K7" i="11"/>
  <c r="K8" i="11"/>
  <c r="K9" i="11"/>
  <c r="K10" i="11"/>
  <c r="K11" i="11"/>
  <c r="K12" i="11"/>
  <c r="K13" i="11"/>
  <c r="K15" i="11"/>
  <c r="K16" i="11"/>
  <c r="K19" i="11"/>
  <c r="K20" i="11"/>
  <c r="E64" i="9"/>
  <c r="C24" i="12"/>
  <c r="J24" i="12"/>
  <c r="E44" i="9"/>
  <c r="C23" i="12" s="1"/>
  <c r="J23" i="12" s="1"/>
  <c r="P26" i="12"/>
  <c r="P25" i="12"/>
  <c r="P24" i="12"/>
  <c r="P23" i="12"/>
  <c r="P22" i="12"/>
  <c r="I9" i="12"/>
  <c r="I26" i="12"/>
  <c r="H84" i="9"/>
  <c r="I25" i="12"/>
  <c r="H93" i="9"/>
  <c r="I8" i="12" s="1"/>
  <c r="K8" i="12" s="1"/>
  <c r="K39" i="12"/>
  <c r="L39" i="12" s="1"/>
  <c r="T39" i="12" s="1"/>
  <c r="K50" i="12"/>
  <c r="L50" i="12"/>
  <c r="T50" i="12" s="1"/>
  <c r="K47" i="12"/>
  <c r="L47" i="12" s="1"/>
  <c r="T47" i="12" s="1"/>
  <c r="K46" i="12"/>
  <c r="L46" i="12" s="1"/>
  <c r="T46" i="12" s="1"/>
  <c r="K44" i="12"/>
  <c r="L44" i="12" s="1"/>
  <c r="T44" i="12" s="1"/>
  <c r="K43" i="12"/>
  <c r="L43" i="12" s="1"/>
  <c r="T43" i="12" s="1"/>
  <c r="K40" i="12"/>
  <c r="L40" i="12" s="1"/>
  <c r="T40" i="12" s="1"/>
  <c r="K30" i="12"/>
  <c r="L29" i="12"/>
  <c r="T29" i="12" s="1"/>
  <c r="K28" i="12"/>
  <c r="L28" i="12"/>
  <c r="T28" i="12"/>
  <c r="K12" i="12"/>
  <c r="L13" i="12"/>
  <c r="T13" i="12" s="1"/>
  <c r="Q23" i="12"/>
  <c r="Q24" i="12"/>
  <c r="Q25" i="12"/>
  <c r="Q26" i="12"/>
  <c r="Q27" i="12"/>
  <c r="Q28" i="12"/>
  <c r="Q29" i="12"/>
  <c r="Q30" i="12"/>
  <c r="Q22" i="12"/>
  <c r="Q6" i="12"/>
  <c r="Q7" i="12"/>
  <c r="Q8" i="12"/>
  <c r="Q9" i="12"/>
  <c r="Q10" i="12"/>
  <c r="Q11" i="12"/>
  <c r="Q12" i="12"/>
  <c r="Q13" i="12"/>
  <c r="Q14" i="12"/>
  <c r="Q15" i="12"/>
  <c r="Q16" i="12"/>
  <c r="K76" i="8"/>
  <c r="I16" i="12" s="1"/>
  <c r="K52" i="8"/>
  <c r="I15" i="12" s="1"/>
  <c r="K28" i="8"/>
  <c r="I14" i="12" s="1"/>
  <c r="E16" i="12"/>
  <c r="D16" i="12" s="1"/>
  <c r="E15" i="12"/>
  <c r="E14" i="12"/>
  <c r="E76" i="8"/>
  <c r="C16" i="12"/>
  <c r="E52" i="8"/>
  <c r="C15" i="12" s="1"/>
  <c r="E28" i="8"/>
  <c r="C14" i="12"/>
  <c r="K9" i="12"/>
  <c r="H73" i="9"/>
  <c r="I7" i="12" s="1"/>
  <c r="K7" i="12" s="1"/>
  <c r="H64" i="9"/>
  <c r="I24" i="12" s="1"/>
  <c r="H44" i="9"/>
  <c r="I23" i="12" s="1"/>
  <c r="K23" i="12" s="1"/>
  <c r="A170" i="12"/>
  <c r="E25" i="12"/>
  <c r="E24" i="12"/>
  <c r="E23" i="12"/>
  <c r="D22" i="12"/>
  <c r="E84" i="9"/>
  <c r="C25" i="12" s="1"/>
  <c r="J25" i="12" s="1"/>
  <c r="E25" i="9"/>
  <c r="C22" i="12" s="1"/>
  <c r="J22" i="12" s="1"/>
  <c r="K26" i="12"/>
  <c r="H53" i="9"/>
  <c r="I6" i="12" s="1"/>
  <c r="J15" i="12"/>
  <c r="K24" i="12"/>
  <c r="L22" i="12"/>
  <c r="T22" i="12" s="1"/>
  <c r="L23" i="12"/>
  <c r="T23" i="12" s="1"/>
  <c r="K10" i="12"/>
  <c r="K15" i="12"/>
  <c r="L15" i="12" s="1"/>
  <c r="T15" i="12" s="1"/>
  <c r="D23" i="12"/>
  <c r="D25" i="12"/>
  <c r="D24" i="12"/>
  <c r="D14" i="12"/>
  <c r="E6" i="12"/>
  <c r="D6" i="12" s="1"/>
  <c r="E93" i="9"/>
  <c r="C8" i="12" s="1"/>
  <c r="J8" i="12" s="1"/>
  <c r="L8" i="12" s="1"/>
  <c r="T8" i="12" s="1"/>
  <c r="E73" i="9"/>
  <c r="C7" i="12" s="1"/>
  <c r="J7" i="12" s="1"/>
  <c r="L7" i="12" s="1"/>
  <c r="T7" i="12" s="1"/>
  <c r="E53" i="9"/>
  <c r="C6" i="12"/>
  <c r="J6" i="12" s="1"/>
  <c r="M20" i="11"/>
  <c r="N20" i="11" s="1"/>
  <c r="M19" i="11"/>
  <c r="N19" i="11" s="1"/>
  <c r="M13" i="11"/>
  <c r="N13" i="11" s="1"/>
  <c r="M8" i="11"/>
  <c r="N8" i="11" s="1"/>
  <c r="M16" i="11"/>
  <c r="N16" i="11" s="1"/>
  <c r="M15" i="11"/>
  <c r="N15" i="11" s="1"/>
  <c r="M12" i="11"/>
  <c r="N12" i="11" s="1"/>
  <c r="M5" i="11"/>
  <c r="N5" i="11" s="1"/>
  <c r="M11" i="11"/>
  <c r="N11" i="11" s="1"/>
  <c r="M4" i="11"/>
  <c r="N4" i="11" s="1"/>
  <c r="M6" i="11"/>
  <c r="N6" i="11" s="1"/>
  <c r="M9" i="11"/>
  <c r="N9" i="11" s="1"/>
  <c r="M3" i="11"/>
  <c r="N3" i="11" s="1"/>
  <c r="M10" i="11"/>
  <c r="N10" i="11" s="1"/>
  <c r="M7" i="11"/>
  <c r="N7" i="11" s="1"/>
  <c r="J91" i="9"/>
  <c r="K91" i="9" s="1"/>
  <c r="J90" i="9"/>
  <c r="K90" i="9" s="1"/>
  <c r="J89" i="9"/>
  <c r="K89" i="9" s="1"/>
  <c r="J88" i="9"/>
  <c r="J93" i="9" s="1"/>
  <c r="G84" i="9"/>
  <c r="I84" i="9"/>
  <c r="G93" i="9"/>
  <c r="I93" i="9"/>
  <c r="J82" i="9"/>
  <c r="J79" i="9"/>
  <c r="J80" i="9"/>
  <c r="J84" i="9" s="1"/>
  <c r="J81" i="9"/>
  <c r="K81" i="9" s="1"/>
  <c r="K79" i="9"/>
  <c r="I53" i="9"/>
  <c r="G73" i="9"/>
  <c r="I73" i="9"/>
  <c r="J71" i="9"/>
  <c r="K71" i="9" s="1"/>
  <c r="J70" i="9"/>
  <c r="K70" i="9"/>
  <c r="J69" i="9"/>
  <c r="K69" i="9" s="1"/>
  <c r="J68" i="9"/>
  <c r="J73" i="9"/>
  <c r="G64" i="9"/>
  <c r="I64" i="9"/>
  <c r="J59" i="9"/>
  <c r="J60" i="9"/>
  <c r="J61" i="9"/>
  <c r="K61" i="9" s="1"/>
  <c r="J62" i="9"/>
  <c r="K59" i="9"/>
  <c r="K62" i="9"/>
  <c r="J51" i="9"/>
  <c r="K51" i="9" s="1"/>
  <c r="J50" i="9"/>
  <c r="K50" i="9"/>
  <c r="J49" i="9"/>
  <c r="K49" i="9" s="1"/>
  <c r="J48" i="9"/>
  <c r="K48" i="9"/>
  <c r="G44" i="9"/>
  <c r="I44" i="9"/>
  <c r="J42" i="9"/>
  <c r="K42" i="9" s="1"/>
  <c r="J41" i="9"/>
  <c r="K41" i="9"/>
  <c r="J40" i="9"/>
  <c r="J39" i="9"/>
  <c r="K39" i="9"/>
  <c r="I25" i="9"/>
  <c r="G25" i="9"/>
  <c r="J22" i="9"/>
  <c r="K22" i="9"/>
  <c r="J23" i="9"/>
  <c r="K23" i="9" s="1"/>
  <c r="J21" i="9"/>
  <c r="K21" i="9"/>
  <c r="J20" i="9"/>
  <c r="G53" i="9"/>
  <c r="K68" i="9"/>
  <c r="K73" i="9"/>
  <c r="K82" i="9"/>
  <c r="E104" i="9"/>
  <c r="C26" i="12"/>
  <c r="J26" i="12"/>
  <c r="L26" i="12" s="1"/>
  <c r="T26" i="12" s="1"/>
  <c r="E9" i="12"/>
  <c r="D9" i="12" s="1"/>
  <c r="E113" i="9"/>
  <c r="C9" i="12"/>
  <c r="J9" i="12" s="1"/>
  <c r="L9" i="12" s="1"/>
  <c r="T9" i="12" s="1"/>
  <c r="E26" i="12"/>
  <c r="D26" i="12"/>
  <c r="J76" i="8"/>
  <c r="I76" i="8"/>
  <c r="H76" i="8"/>
  <c r="G76" i="8"/>
  <c r="I52" i="8"/>
  <c r="G52" i="8"/>
  <c r="H52" i="8"/>
  <c r="J52" i="8"/>
  <c r="G28" i="8"/>
  <c r="H28" i="8"/>
  <c r="I28" i="8"/>
  <c r="J28" i="8"/>
  <c r="N47" i="11"/>
  <c r="K48" i="11" l="1"/>
  <c r="I48" i="12"/>
  <c r="K11" i="12"/>
  <c r="L11" i="12" s="1"/>
  <c r="T11" i="12" s="1"/>
  <c r="J25" i="9"/>
  <c r="K20" i="9"/>
  <c r="K25" i="9" s="1"/>
  <c r="J64" i="9"/>
  <c r="K60" i="9"/>
  <c r="K64" i="9" s="1"/>
  <c r="K6" i="12"/>
  <c r="L6" i="12" s="1"/>
  <c r="T6" i="12" s="1"/>
  <c r="K14" i="12"/>
  <c r="L14" i="12" s="1"/>
  <c r="T14" i="12" s="1"/>
  <c r="Y43" i="15" s="1"/>
  <c r="J14" i="12"/>
  <c r="D28" i="12"/>
  <c r="J44" i="9"/>
  <c r="K40" i="9"/>
  <c r="K44" i="9" s="1"/>
  <c r="K53" i="9"/>
  <c r="L24" i="12"/>
  <c r="T24" i="12" s="1"/>
  <c r="K25" i="12"/>
  <c r="L25" i="12"/>
  <c r="T25" i="12" s="1"/>
  <c r="G52" i="11"/>
  <c r="K113" i="9"/>
  <c r="L12" i="12"/>
  <c r="T12" i="12" s="1"/>
  <c r="L30" i="12"/>
  <c r="T30" i="12" s="1"/>
  <c r="K27" i="12"/>
  <c r="L27" i="12" s="1"/>
  <c r="T27" i="12" s="1"/>
  <c r="K88" i="9"/>
  <c r="K93" i="9" s="1"/>
  <c r="K80" i="9"/>
  <c r="K84" i="9" s="1"/>
  <c r="D15" i="12"/>
  <c r="J16" i="12"/>
  <c r="K16" i="12"/>
  <c r="L16" i="12"/>
  <c r="T16" i="12" s="1"/>
  <c r="D30" i="12"/>
  <c r="N43" i="15"/>
  <c r="P43" i="15" s="1"/>
  <c r="J53" i="9"/>
  <c r="Y53" i="15"/>
  <c r="K41" i="12"/>
  <c r="L41" i="12" s="1"/>
  <c r="T41" i="12" s="1"/>
  <c r="D39" i="12"/>
  <c r="D47" i="12"/>
  <c r="D43" i="12"/>
  <c r="C39" i="12"/>
  <c r="C47" i="12"/>
  <c r="C43" i="12"/>
  <c r="K120" i="9"/>
  <c r="K124" i="9" s="1"/>
  <c r="J144" i="9"/>
  <c r="K160" i="9"/>
  <c r="K164" i="9" s="1"/>
  <c r="K189" i="9"/>
  <c r="K193" i="9" s="1"/>
  <c r="N41" i="12"/>
  <c r="D46" i="12"/>
  <c r="D42" i="12"/>
  <c r="C46" i="12"/>
  <c r="C42" i="12"/>
  <c r="D49" i="12"/>
  <c r="D41" i="12"/>
  <c r="C49" i="12"/>
  <c r="C41" i="12"/>
  <c r="D48" i="12"/>
  <c r="D44" i="12"/>
  <c r="D40" i="12"/>
  <c r="C48" i="12"/>
  <c r="C44" i="12"/>
  <c r="C40" i="12"/>
  <c r="Y3" i="15"/>
  <c r="AB3" i="15"/>
  <c r="Y38" i="15"/>
  <c r="F39" i="15"/>
  <c r="Z44" i="15" s="1"/>
  <c r="AP23" i="15"/>
  <c r="F45" i="15"/>
  <c r="AP45" i="15" s="1"/>
  <c r="Y23" i="15"/>
  <c r="N3" i="15"/>
  <c r="G39" i="15"/>
  <c r="N23" i="15"/>
  <c r="Y33" i="15"/>
  <c r="N53" i="15"/>
  <c r="F55" i="15"/>
  <c r="AO55" i="15" s="1"/>
  <c r="O53" i="15"/>
  <c r="G15" i="15"/>
  <c r="AO15" i="15" s="1"/>
  <c r="G34" i="15"/>
  <c r="F35" i="15"/>
  <c r="F9" i="15"/>
  <c r="F34" i="15"/>
  <c r="F36" i="15"/>
  <c r="O3" i="15"/>
  <c r="F54" i="15"/>
  <c r="O54" i="15" s="1"/>
  <c r="G24" i="15"/>
  <c r="G50" i="15"/>
  <c r="K50" i="15" s="1"/>
  <c r="F41" i="15"/>
  <c r="O43" i="15"/>
  <c r="F6" i="15"/>
  <c r="G36" i="15"/>
  <c r="AB36" i="15" s="1"/>
  <c r="F25" i="15"/>
  <c r="F21" i="15"/>
  <c r="AB38" i="15"/>
  <c r="L16" i="17"/>
  <c r="O23" i="15"/>
  <c r="F11" i="15"/>
  <c r="F56" i="15"/>
  <c r="AB56" i="15" s="1"/>
  <c r="F46" i="15"/>
  <c r="AB46" i="15" s="1"/>
  <c r="G35" i="15"/>
  <c r="G49" i="15"/>
  <c r="K49" i="15" s="1"/>
  <c r="G26" i="15"/>
  <c r="G41" i="15"/>
  <c r="G40" i="15"/>
  <c r="G14" i="15"/>
  <c r="F24" i="15"/>
  <c r="G25" i="15"/>
  <c r="Z23" i="15"/>
  <c r="G5" i="15"/>
  <c r="AB5" i="15" s="1"/>
  <c r="G16" i="15"/>
  <c r="F44" i="15"/>
  <c r="G51" i="15"/>
  <c r="K51" i="15" s="1"/>
  <c r="F40" i="15"/>
  <c r="Z50" i="15" s="1"/>
  <c r="F26" i="15"/>
  <c r="F4" i="15"/>
  <c r="F5" i="15"/>
  <c r="G28" i="15"/>
  <c r="G29" i="15"/>
  <c r="G31" i="15"/>
  <c r="F48" i="15"/>
  <c r="AA48" i="15" s="1"/>
  <c r="F49" i="15"/>
  <c r="F50" i="15"/>
  <c r="AO50" i="15" s="1"/>
  <c r="F51" i="15"/>
  <c r="AO51" i="15" s="1"/>
  <c r="G43" i="15"/>
  <c r="K43" i="15" s="1"/>
  <c r="G45" i="15"/>
  <c r="G18" i="15"/>
  <c r="O18" i="15" s="1"/>
  <c r="G21" i="15"/>
  <c r="G20" i="15"/>
  <c r="F28" i="15"/>
  <c r="F29" i="15"/>
  <c r="F31" i="15"/>
  <c r="G30" i="15"/>
  <c r="N30" i="15" s="1"/>
  <c r="G8" i="15"/>
  <c r="G10" i="15"/>
  <c r="AA10" i="15" s="1"/>
  <c r="G11" i="15"/>
  <c r="G9" i="15"/>
  <c r="F19" i="15"/>
  <c r="AA19" i="15" s="1"/>
  <c r="F20" i="15"/>
  <c r="G54" i="15"/>
  <c r="K54" i="15" s="1"/>
  <c r="E3" i="15"/>
  <c r="Z3" i="15"/>
  <c r="AP3" i="15"/>
  <c r="AA3" i="15"/>
  <c r="Z33" i="15"/>
  <c r="E33" i="15"/>
  <c r="AO33" i="15"/>
  <c r="O33" i="15"/>
  <c r="AP33" i="15"/>
  <c r="AA33" i="15"/>
  <c r="N33" i="15"/>
  <c r="AO53" i="15"/>
  <c r="AA53" i="15"/>
  <c r="AP53" i="15"/>
  <c r="AB53" i="15"/>
  <c r="AO3" i="15"/>
  <c r="Z48" i="15"/>
  <c r="E38" i="15"/>
  <c r="AP38" i="15"/>
  <c r="Z43" i="15"/>
  <c r="O38" i="15"/>
  <c r="AO38" i="15"/>
  <c r="AA38" i="15"/>
  <c r="Z38" i="15"/>
  <c r="N38" i="15"/>
  <c r="AB33" i="15"/>
  <c r="AO23" i="15"/>
  <c r="AA23" i="15"/>
  <c r="AB23" i="15"/>
  <c r="E23" i="15"/>
  <c r="AO43" i="15"/>
  <c r="AA43" i="15"/>
  <c r="AP43" i="15"/>
  <c r="AB43" i="15"/>
  <c r="F8" i="15"/>
  <c r="F13" i="15"/>
  <c r="N13" i="15" s="1"/>
  <c r="G46" i="15"/>
  <c r="G53" i="15"/>
  <c r="K53" i="15" s="1"/>
  <c r="G6" i="15"/>
  <c r="G44" i="15"/>
  <c r="G55" i="15"/>
  <c r="G4" i="15"/>
  <c r="F14" i="15"/>
  <c r="F16" i="15"/>
  <c r="Q44" i="12"/>
  <c r="S47" i="12"/>
  <c r="S30" i="12"/>
  <c r="S22" i="12"/>
  <c r="S6" i="12"/>
  <c r="S50" i="12"/>
  <c r="S44" i="12"/>
  <c r="S41" i="12"/>
  <c r="S43" i="12"/>
  <c r="S48" i="12"/>
  <c r="S24" i="12"/>
  <c r="S25" i="12"/>
  <c r="S10" i="12"/>
  <c r="S7" i="12"/>
  <c r="S28" i="12"/>
  <c r="S29" i="12"/>
  <c r="S39" i="12"/>
  <c r="S14" i="12"/>
  <c r="S23" i="12"/>
  <c r="S11" i="12"/>
  <c r="S45" i="12"/>
  <c r="S8" i="12"/>
  <c r="D24" i="5"/>
  <c r="S46" i="12"/>
  <c r="S13" i="12"/>
  <c r="S26" i="12"/>
  <c r="S40" i="12"/>
  <c r="S27" i="12"/>
  <c r="S15" i="12"/>
  <c r="S49" i="12"/>
  <c r="I52" i="11" l="1"/>
  <c r="E50" i="12" s="1"/>
  <c r="K52" i="11"/>
  <c r="W50" i="12"/>
  <c r="N48" i="12"/>
  <c r="L48" i="12"/>
  <c r="T48" i="12" s="1"/>
  <c r="K48" i="12"/>
  <c r="N49" i="12"/>
  <c r="AO41" i="15"/>
  <c r="Z54" i="15"/>
  <c r="Z49" i="15"/>
  <c r="E39" i="15"/>
  <c r="L39" i="15" s="1"/>
  <c r="AI39" i="15" s="1"/>
  <c r="N39" i="15"/>
  <c r="P39" i="15" s="1"/>
  <c r="P3" i="15"/>
  <c r="AD3" i="15" s="1"/>
  <c r="AC3" i="15"/>
  <c r="AE3" i="15" s="1"/>
  <c r="P13" i="15"/>
  <c r="P53" i="15"/>
  <c r="AD53" i="15" s="1"/>
  <c r="AC53" i="15"/>
  <c r="AD43" i="15"/>
  <c r="AC43" i="15"/>
  <c r="AE43" i="15" s="1"/>
  <c r="AC38" i="15"/>
  <c r="AC33" i="15"/>
  <c r="P23" i="15"/>
  <c r="AD23" i="15" s="1"/>
  <c r="AC23" i="15"/>
  <c r="AE23" i="15" s="1"/>
  <c r="AO45" i="15"/>
  <c r="AB45" i="15"/>
  <c r="AB54" i="15"/>
  <c r="N45" i="15"/>
  <c r="Z25" i="15"/>
  <c r="AP48" i="15"/>
  <c r="Y15" i="15"/>
  <c r="Z55" i="15"/>
  <c r="N15" i="15"/>
  <c r="P15" i="15" s="1"/>
  <c r="AA15" i="15"/>
  <c r="AO21" i="15"/>
  <c r="AP15" i="15"/>
  <c r="E15" i="15"/>
  <c r="L15" i="15" s="1"/>
  <c r="AL15" i="15" s="1"/>
  <c r="O15" i="15"/>
  <c r="AB15" i="15"/>
  <c r="Z24" i="15"/>
  <c r="Z15" i="15"/>
  <c r="AA45" i="15"/>
  <c r="Y45" i="15"/>
  <c r="O45" i="15"/>
  <c r="Z45" i="15"/>
  <c r="N48" i="15"/>
  <c r="P48" i="15" s="1"/>
  <c r="E48" i="15"/>
  <c r="L48" i="15" s="1"/>
  <c r="AA51" i="15"/>
  <c r="Z18" i="15"/>
  <c r="O48" i="15"/>
  <c r="AO48" i="15"/>
  <c r="AA46" i="15"/>
  <c r="AA40" i="15"/>
  <c r="Y35" i="15"/>
  <c r="AP24" i="15"/>
  <c r="AP46" i="15"/>
  <c r="O46" i="15"/>
  <c r="AP35" i="15"/>
  <c r="E35" i="15"/>
  <c r="L35" i="15" s="1"/>
  <c r="AL35" i="15" s="1"/>
  <c r="AO19" i="15"/>
  <c r="N14" i="15"/>
  <c r="Y5" i="15"/>
  <c r="AP39" i="15"/>
  <c r="Y39" i="15"/>
  <c r="AP36" i="15"/>
  <c r="Z39" i="15"/>
  <c r="AO39" i="15"/>
  <c r="AB39" i="15"/>
  <c r="AA39" i="15"/>
  <c r="O5" i="15"/>
  <c r="AA5" i="15"/>
  <c r="AO5" i="15"/>
  <c r="AP55" i="15"/>
  <c r="AE53" i="15"/>
  <c r="N46" i="15"/>
  <c r="AP5" i="15"/>
  <c r="Z5" i="15"/>
  <c r="E5" i="15"/>
  <c r="L5" i="15" s="1"/>
  <c r="AS5" i="15" s="1"/>
  <c r="N5" i="15"/>
  <c r="O39" i="15"/>
  <c r="O35" i="15"/>
  <c r="AO46" i="15"/>
  <c r="Y46" i="15"/>
  <c r="AA28" i="15"/>
  <c r="AA18" i="15"/>
  <c r="AO54" i="15"/>
  <c r="AB18" i="15"/>
  <c r="AO9" i="15"/>
  <c r="Y40" i="15"/>
  <c r="N40" i="15"/>
  <c r="AP54" i="15"/>
  <c r="AP18" i="15"/>
  <c r="N18" i="15"/>
  <c r="Z29" i="15"/>
  <c r="E18" i="15"/>
  <c r="L18" i="15" s="1"/>
  <c r="AB29" i="15"/>
  <c r="N35" i="15"/>
  <c r="Z35" i="15"/>
  <c r="O55" i="15"/>
  <c r="Y55" i="15"/>
  <c r="AP50" i="15"/>
  <c r="AB35" i="15"/>
  <c r="AA35" i="15"/>
  <c r="N55" i="15"/>
  <c r="AA55" i="15"/>
  <c r="AO35" i="15"/>
  <c r="AB55" i="15"/>
  <c r="AP34" i="15"/>
  <c r="N41" i="15"/>
  <c r="AP26" i="15"/>
  <c r="AB11" i="15"/>
  <c r="N36" i="15"/>
  <c r="AO36" i="15"/>
  <c r="E24" i="15"/>
  <c r="L24" i="15" s="1"/>
  <c r="I24" i="15" s="1"/>
  <c r="AB51" i="15"/>
  <c r="AR35" i="15"/>
  <c r="Z11" i="15"/>
  <c r="Y34" i="15"/>
  <c r="Q43" i="15"/>
  <c r="Q23" i="15"/>
  <c r="AA54" i="15"/>
  <c r="N54" i="15"/>
  <c r="Y54" i="15"/>
  <c r="E34" i="15"/>
  <c r="L34" i="15" s="1"/>
  <c r="AA36" i="15"/>
  <c r="O36" i="15"/>
  <c r="AA24" i="15"/>
  <c r="O26" i="15"/>
  <c r="Z34" i="15"/>
  <c r="O40" i="15"/>
  <c r="AB34" i="15"/>
  <c r="AB25" i="15"/>
  <c r="Z46" i="15"/>
  <c r="Z51" i="15"/>
  <c r="Z56" i="15"/>
  <c r="Z36" i="15"/>
  <c r="AB24" i="15"/>
  <c r="AO34" i="15"/>
  <c r="O34" i="15"/>
  <c r="N34" i="15"/>
  <c r="AA34" i="15"/>
  <c r="AP56" i="15"/>
  <c r="N56" i="15"/>
  <c r="E56" i="15"/>
  <c r="L56" i="15" s="1"/>
  <c r="O56" i="15"/>
  <c r="Y56" i="15"/>
  <c r="AO20" i="15"/>
  <c r="AB40" i="15"/>
  <c r="AP40" i="15"/>
  <c r="Z40" i="15"/>
  <c r="E25" i="15"/>
  <c r="L25" i="15" s="1"/>
  <c r="S25" i="15" s="1"/>
  <c r="AO25" i="15"/>
  <c r="Z8" i="15"/>
  <c r="AO56" i="15"/>
  <c r="E40" i="15"/>
  <c r="L40" i="15" s="1"/>
  <c r="AG40" i="15" s="1"/>
  <c r="AO40" i="15"/>
  <c r="AA56" i="15"/>
  <c r="AP13" i="15"/>
  <c r="N29" i="15"/>
  <c r="AB26" i="15"/>
  <c r="E36" i="15"/>
  <c r="L36" i="15" s="1"/>
  <c r="AL36" i="15" s="1"/>
  <c r="Y36" i="15"/>
  <c r="Z20" i="15"/>
  <c r="AP29" i="15"/>
  <c r="AO29" i="15"/>
  <c r="AA26" i="15"/>
  <c r="E54" i="15"/>
  <c r="L54" i="15" s="1"/>
  <c r="AS54" i="15" s="1"/>
  <c r="Z19" i="15"/>
  <c r="AB41" i="15"/>
  <c r="E26" i="15"/>
  <c r="L26" i="15" s="1"/>
  <c r="T26" i="15" s="1"/>
  <c r="AP41" i="15"/>
  <c r="E41" i="15"/>
  <c r="L41" i="15" s="1"/>
  <c r="AS41" i="15" s="1"/>
  <c r="Y41" i="15"/>
  <c r="N25" i="15"/>
  <c r="AP44" i="15"/>
  <c r="AA44" i="15"/>
  <c r="N44" i="15"/>
  <c r="O44" i="15"/>
  <c r="AO44" i="15"/>
  <c r="AB44" i="15"/>
  <c r="Y44" i="15"/>
  <c r="N24" i="15"/>
  <c r="O24" i="15"/>
  <c r="Y24" i="15"/>
  <c r="E29" i="15"/>
  <c r="L29" i="15" s="1"/>
  <c r="AL29" i="15" s="1"/>
  <c r="AB50" i="15"/>
  <c r="E51" i="15"/>
  <c r="L51" i="15" s="1"/>
  <c r="I51" i="15" s="1"/>
  <c r="AO26" i="15"/>
  <c r="E19" i="15"/>
  <c r="L19" i="15" s="1"/>
  <c r="AL19" i="15" s="1"/>
  <c r="AP19" i="15"/>
  <c r="Z10" i="15"/>
  <c r="O41" i="15"/>
  <c r="Z41" i="15"/>
  <c r="Y26" i="15"/>
  <c r="AA25" i="15"/>
  <c r="AP25" i="15"/>
  <c r="AA41" i="15"/>
  <c r="AO24" i="15"/>
  <c r="Y25" i="15"/>
  <c r="O25" i="15"/>
  <c r="O8" i="15"/>
  <c r="Z26" i="15"/>
  <c r="N26" i="15"/>
  <c r="N28" i="15"/>
  <c r="AA9" i="15"/>
  <c r="AA8" i="15"/>
  <c r="E43" i="15"/>
  <c r="L43" i="15" s="1"/>
  <c r="AA11" i="15"/>
  <c r="AP28" i="15"/>
  <c r="AR5" i="15"/>
  <c r="AB9" i="15"/>
  <c r="AB8" i="15"/>
  <c r="AO11" i="15"/>
  <c r="E28" i="15"/>
  <c r="L28" i="15" s="1"/>
  <c r="AO8" i="15"/>
  <c r="Y28" i="15"/>
  <c r="N8" i="15"/>
  <c r="Y8" i="15"/>
  <c r="AO28" i="15"/>
  <c r="AP8" i="15"/>
  <c r="E8" i="15"/>
  <c r="L8" i="15" s="1"/>
  <c r="P30" i="15"/>
  <c r="AP14" i="15"/>
  <c r="AA20" i="15"/>
  <c r="N20" i="15"/>
  <c r="O20" i="15"/>
  <c r="Y20" i="15"/>
  <c r="AP20" i="15"/>
  <c r="O9" i="15"/>
  <c r="Y9" i="15"/>
  <c r="AP10" i="15"/>
  <c r="N10" i="15"/>
  <c r="O10" i="15"/>
  <c r="Y10" i="15"/>
  <c r="E49" i="15"/>
  <c r="L49" i="15" s="1"/>
  <c r="AP49" i="15"/>
  <c r="AA49" i="15"/>
  <c r="N49" i="15"/>
  <c r="Y49" i="15"/>
  <c r="AO49" i="15"/>
  <c r="AB49" i="15"/>
  <c r="O49" i="15"/>
  <c r="Z30" i="15"/>
  <c r="E9" i="15"/>
  <c r="L9" i="15" s="1"/>
  <c r="AR9" i="15" s="1"/>
  <c r="E14" i="15"/>
  <c r="L14" i="15" s="1"/>
  <c r="AS14" i="15" s="1"/>
  <c r="Z14" i="15"/>
  <c r="E20" i="15"/>
  <c r="L20" i="15" s="1"/>
  <c r="AI20" i="15" s="1"/>
  <c r="AB10" i="15"/>
  <c r="AO10" i="15"/>
  <c r="O28" i="15"/>
  <c r="Z28" i="15"/>
  <c r="AB19" i="15"/>
  <c r="N19" i="15"/>
  <c r="O19" i="15"/>
  <c r="Y19" i="15"/>
  <c r="Z9" i="15"/>
  <c r="AO30" i="15"/>
  <c r="Z31" i="15"/>
  <c r="O31" i="15"/>
  <c r="AA31" i="15"/>
  <c r="E31" i="15"/>
  <c r="L31" i="15" s="1"/>
  <c r="AP31" i="15"/>
  <c r="AB31" i="15"/>
  <c r="AO31" i="15"/>
  <c r="N31" i="15"/>
  <c r="Y31" i="15"/>
  <c r="AA21" i="15"/>
  <c r="Y21" i="15"/>
  <c r="AP21" i="15"/>
  <c r="AB21" i="15"/>
  <c r="N21" i="15"/>
  <c r="E21" i="15"/>
  <c r="L21" i="15" s="1"/>
  <c r="O21" i="15"/>
  <c r="Z21" i="15"/>
  <c r="K45" i="15"/>
  <c r="E45" i="15"/>
  <c r="L45" i="15" s="1"/>
  <c r="AP30" i="15"/>
  <c r="AB48" i="15"/>
  <c r="Y48" i="15"/>
  <c r="Y30" i="15"/>
  <c r="E30" i="15"/>
  <c r="L30" i="15" s="1"/>
  <c r="AP9" i="15"/>
  <c r="Y14" i="15"/>
  <c r="E13" i="15"/>
  <c r="L13" i="15" s="1"/>
  <c r="AG13" i="15" s="1"/>
  <c r="AB20" i="15"/>
  <c r="E10" i="15"/>
  <c r="L10" i="15" s="1"/>
  <c r="AL10" i="15" s="1"/>
  <c r="AB28" i="15"/>
  <c r="N9" i="15"/>
  <c r="Y29" i="15"/>
  <c r="O29" i="15"/>
  <c r="AA29" i="15"/>
  <c r="Y18" i="15"/>
  <c r="AO18" i="15"/>
  <c r="AP51" i="15"/>
  <c r="N51" i="15"/>
  <c r="O51" i="15"/>
  <c r="Y51" i="15"/>
  <c r="AA30" i="15"/>
  <c r="O30" i="15"/>
  <c r="AB30" i="15"/>
  <c r="O11" i="15"/>
  <c r="E11" i="15"/>
  <c r="L11" i="15" s="1"/>
  <c r="N11" i="15"/>
  <c r="Y11" i="15"/>
  <c r="AP11" i="15"/>
  <c r="Y50" i="15"/>
  <c r="N50" i="15"/>
  <c r="O50" i="15"/>
  <c r="E50" i="15"/>
  <c r="L50" i="15" s="1"/>
  <c r="AA50" i="15"/>
  <c r="K55" i="15"/>
  <c r="E55" i="15"/>
  <c r="L55" i="15" s="1"/>
  <c r="AP6" i="15"/>
  <c r="AA6" i="15"/>
  <c r="Z6" i="15"/>
  <c r="AO6" i="15"/>
  <c r="AB6" i="15"/>
  <c r="Y6" i="15"/>
  <c r="N6" i="15"/>
  <c r="O6" i="15"/>
  <c r="L38" i="15"/>
  <c r="P33" i="15"/>
  <c r="Q33" i="15" s="1"/>
  <c r="AA13" i="15"/>
  <c r="E44" i="15"/>
  <c r="L44" i="15" s="1"/>
  <c r="K44" i="15"/>
  <c r="E6" i="15"/>
  <c r="L6" i="15" s="1"/>
  <c r="P38" i="15"/>
  <c r="AD38" i="15" s="1"/>
  <c r="L33" i="15"/>
  <c r="AL5" i="15"/>
  <c r="T5" i="15"/>
  <c r="AO13" i="15"/>
  <c r="AB13" i="15"/>
  <c r="Y13" i="15"/>
  <c r="O13" i="15"/>
  <c r="Z13" i="15"/>
  <c r="Z4" i="15"/>
  <c r="AP4" i="15"/>
  <c r="AA4" i="15"/>
  <c r="AO4" i="15"/>
  <c r="AB4" i="15"/>
  <c r="E4" i="15"/>
  <c r="L4" i="15" s="1"/>
  <c r="N4" i="15"/>
  <c r="O4" i="15"/>
  <c r="Y4" i="15"/>
  <c r="K46" i="15"/>
  <c r="E46" i="15"/>
  <c r="L46" i="15" s="1"/>
  <c r="L23" i="15"/>
  <c r="E53" i="15"/>
  <c r="L3" i="15"/>
  <c r="AO14" i="15"/>
  <c r="AA14" i="15"/>
  <c r="AB14" i="15"/>
  <c r="O14" i="15"/>
  <c r="AO16" i="15"/>
  <c r="AP16" i="15"/>
  <c r="AA16" i="15"/>
  <c r="AB16" i="15"/>
  <c r="Z16" i="15"/>
  <c r="O16" i="15"/>
  <c r="Y16" i="15"/>
  <c r="E16" i="15"/>
  <c r="L16" i="15" s="1"/>
  <c r="N16" i="15"/>
  <c r="C50" i="12" l="1"/>
  <c r="D50" i="12"/>
  <c r="Q13" i="15"/>
  <c r="AE38" i="15"/>
  <c r="I39" i="15"/>
  <c r="AH39" i="15"/>
  <c r="AG39" i="15"/>
  <c r="AC39" i="15"/>
  <c r="AE39" i="15" s="1"/>
  <c r="AR15" i="15"/>
  <c r="AS39" i="15"/>
  <c r="AL39" i="15"/>
  <c r="S39" i="15"/>
  <c r="U39" i="15" s="1"/>
  <c r="T39" i="15"/>
  <c r="AR39" i="15"/>
  <c r="S15" i="15"/>
  <c r="U15" i="15" s="1"/>
  <c r="I15" i="15"/>
  <c r="AI15" i="15"/>
  <c r="T15" i="15"/>
  <c r="AG15" i="15"/>
  <c r="AS15" i="15"/>
  <c r="AH15" i="15"/>
  <c r="AI3" i="15"/>
  <c r="S3" i="15"/>
  <c r="AC6" i="15"/>
  <c r="Q53" i="15"/>
  <c r="Q3" i="15"/>
  <c r="P5" i="15"/>
  <c r="AD5" i="15" s="1"/>
  <c r="AC5" i="15"/>
  <c r="AE5" i="15" s="1"/>
  <c r="AC4" i="15"/>
  <c r="P14" i="15"/>
  <c r="AD14" i="15" s="1"/>
  <c r="AC14" i="15"/>
  <c r="AC15" i="15"/>
  <c r="AE15" i="15" s="1"/>
  <c r="AD15" i="15"/>
  <c r="AD13" i="15"/>
  <c r="AC13" i="15"/>
  <c r="AC16" i="15"/>
  <c r="AC11" i="15"/>
  <c r="P8" i="15"/>
  <c r="AD8" i="15" s="1"/>
  <c r="AC8" i="15"/>
  <c r="AE8" i="15" s="1"/>
  <c r="AC9" i="15"/>
  <c r="AC10" i="15"/>
  <c r="AC54" i="15"/>
  <c r="AE54" i="15" s="1"/>
  <c r="P55" i="15"/>
  <c r="Q55" i="15" s="1"/>
  <c r="AC55" i="15"/>
  <c r="AE55" i="15" s="1"/>
  <c r="AC56" i="15"/>
  <c r="AE56" i="15" s="1"/>
  <c r="AD48" i="15"/>
  <c r="AC48" i="15"/>
  <c r="AE48" i="15" s="1"/>
  <c r="AC50" i="15"/>
  <c r="AE50" i="15" s="1"/>
  <c r="AC51" i="15"/>
  <c r="AE51" i="15" s="1"/>
  <c r="AC49" i="15"/>
  <c r="AE49" i="15" s="1"/>
  <c r="AC44" i="15"/>
  <c r="AE44" i="15" s="1"/>
  <c r="P46" i="15"/>
  <c r="AD46" i="15" s="1"/>
  <c r="AC46" i="15"/>
  <c r="AE46" i="15" s="1"/>
  <c r="P45" i="15"/>
  <c r="AD45" i="15" s="1"/>
  <c r="AC45" i="15"/>
  <c r="AE45" i="15" s="1"/>
  <c r="P41" i="15"/>
  <c r="AD41" i="15" s="1"/>
  <c r="AC41" i="15"/>
  <c r="AC40" i="15"/>
  <c r="AD39" i="15"/>
  <c r="AC35" i="15"/>
  <c r="AD33" i="15"/>
  <c r="AE33" i="15" s="1"/>
  <c r="P34" i="15"/>
  <c r="AD34" i="15" s="1"/>
  <c r="AC34" i="15"/>
  <c r="P36" i="15"/>
  <c r="AD36" i="15" s="1"/>
  <c r="AC36" i="15"/>
  <c r="AS35" i="15"/>
  <c r="P28" i="15"/>
  <c r="AD28" i="15" s="1"/>
  <c r="AC28" i="15"/>
  <c r="AE28" i="15" s="1"/>
  <c r="P29" i="15"/>
  <c r="Q29" i="15" s="1"/>
  <c r="AC29" i="15"/>
  <c r="AC30" i="15"/>
  <c r="AC31" i="15"/>
  <c r="AD30" i="15"/>
  <c r="AC26" i="15"/>
  <c r="AC24" i="15"/>
  <c r="P25" i="15"/>
  <c r="Q25" i="15" s="1"/>
  <c r="AC25" i="15"/>
  <c r="AC19" i="15"/>
  <c r="AC20" i="15"/>
  <c r="P18" i="15"/>
  <c r="AD18" i="15" s="1"/>
  <c r="AC18" i="15"/>
  <c r="AC21" i="15"/>
  <c r="AI24" i="15"/>
  <c r="AL51" i="15"/>
  <c r="AI26" i="15"/>
  <c r="Q39" i="15"/>
  <c r="AI5" i="15"/>
  <c r="S5" i="15"/>
  <c r="U5" i="15" s="1"/>
  <c r="V5" i="15" s="1"/>
  <c r="T35" i="15"/>
  <c r="AH35" i="15"/>
  <c r="S35" i="15"/>
  <c r="AH5" i="15"/>
  <c r="I40" i="15"/>
  <c r="I5" i="15"/>
  <c r="AG5" i="15"/>
  <c r="AG35" i="15"/>
  <c r="AI35" i="15"/>
  <c r="AI9" i="15"/>
  <c r="AL9" i="15"/>
  <c r="P35" i="15"/>
  <c r="AD35" i="15" s="1"/>
  <c r="S13" i="15"/>
  <c r="AS13" i="15"/>
  <c r="AH24" i="15"/>
  <c r="AH26" i="15"/>
  <c r="AL26" i="15"/>
  <c r="AH54" i="15"/>
  <c r="AL54" i="15"/>
  <c r="I35" i="15"/>
  <c r="I26" i="15"/>
  <c r="AG26" i="15"/>
  <c r="AI29" i="15"/>
  <c r="I13" i="15"/>
  <c r="T9" i="15"/>
  <c r="AG25" i="15"/>
  <c r="AI25" i="15"/>
  <c r="AS9" i="15"/>
  <c r="AL24" i="15"/>
  <c r="AG29" i="15"/>
  <c r="AH9" i="15"/>
  <c r="AG9" i="15"/>
  <c r="AL13" i="15"/>
  <c r="T24" i="15"/>
  <c r="C9" i="5"/>
  <c r="I19" i="15"/>
  <c r="I29" i="15"/>
  <c r="AR25" i="15"/>
  <c r="AG24" i="15"/>
  <c r="C11" i="5"/>
  <c r="S9" i="15"/>
  <c r="I9" i="15"/>
  <c r="AI13" i="15"/>
  <c r="S24" i="15"/>
  <c r="U24" i="15" s="1"/>
  <c r="AG20" i="15"/>
  <c r="AH13" i="15"/>
  <c r="AL40" i="15"/>
  <c r="I54" i="15"/>
  <c r="AI54" i="15"/>
  <c r="T54" i="15"/>
  <c r="AR54" i="15"/>
  <c r="AG54" i="15"/>
  <c r="S54" i="15"/>
  <c r="S29" i="15"/>
  <c r="T29" i="15"/>
  <c r="AH29" i="15"/>
  <c r="AH19" i="15"/>
  <c r="S19" i="15"/>
  <c r="AI19" i="15"/>
  <c r="AG19" i="15"/>
  <c r="T19" i="15"/>
  <c r="S26" i="15"/>
  <c r="T20" i="15"/>
  <c r="C8" i="5"/>
  <c r="AH20" i="15"/>
  <c r="AH51" i="15"/>
  <c r="AL20" i="15"/>
  <c r="P40" i="15"/>
  <c r="AD40" i="15" s="1"/>
  <c r="T25" i="15"/>
  <c r="AJ25" i="15" s="1"/>
  <c r="AH36" i="15"/>
  <c r="S20" i="15"/>
  <c r="AG41" i="15"/>
  <c r="I25" i="15"/>
  <c r="AH25" i="15"/>
  <c r="I20" i="15"/>
  <c r="S41" i="15"/>
  <c r="P54" i="15"/>
  <c r="Q54" i="15" s="1"/>
  <c r="S40" i="15"/>
  <c r="T40" i="15"/>
  <c r="AH40" i="15"/>
  <c r="AL34" i="15"/>
  <c r="T34" i="15"/>
  <c r="I34" i="15"/>
  <c r="AI34" i="15"/>
  <c r="AR34" i="15"/>
  <c r="AS34" i="15"/>
  <c r="AH34" i="15"/>
  <c r="AG34" i="15"/>
  <c r="S34" i="15"/>
  <c r="AR24" i="15"/>
  <c r="AS24" i="15"/>
  <c r="AI40" i="15"/>
  <c r="AI14" i="15"/>
  <c r="AR40" i="15"/>
  <c r="AS40" i="15"/>
  <c r="AI56" i="15"/>
  <c r="I56" i="15"/>
  <c r="AL56" i="15"/>
  <c r="AS56" i="15"/>
  <c r="AG56" i="15"/>
  <c r="T56" i="15"/>
  <c r="S56" i="15"/>
  <c r="AR56" i="15"/>
  <c r="AH56" i="15"/>
  <c r="AH14" i="15"/>
  <c r="C10" i="5"/>
  <c r="S36" i="15"/>
  <c r="I36" i="15"/>
  <c r="AS36" i="15"/>
  <c r="T36" i="15"/>
  <c r="AG36" i="15"/>
  <c r="AI36" i="15"/>
  <c r="AR36" i="15"/>
  <c r="AL25" i="15"/>
  <c r="AS25" i="15"/>
  <c r="P56" i="15"/>
  <c r="AD56" i="15" s="1"/>
  <c r="T14" i="15"/>
  <c r="AL14" i="15"/>
  <c r="S14" i="15"/>
  <c r="I14" i="15"/>
  <c r="AG51" i="15"/>
  <c r="I45" i="15"/>
  <c r="AH41" i="15"/>
  <c r="AR41" i="15"/>
  <c r="AS51" i="15"/>
  <c r="AR51" i="15"/>
  <c r="AG14" i="15"/>
  <c r="AR14" i="15"/>
  <c r="AI51" i="15"/>
  <c r="T41" i="15"/>
  <c r="AI41" i="15"/>
  <c r="P24" i="15"/>
  <c r="Q24" i="15" s="1"/>
  <c r="S51" i="15"/>
  <c r="T51" i="15"/>
  <c r="C12" i="5"/>
  <c r="I41" i="15"/>
  <c r="AL41" i="15"/>
  <c r="AS19" i="15"/>
  <c r="AR19" i="15"/>
  <c r="AR29" i="15"/>
  <c r="AS29" i="15"/>
  <c r="P44" i="15"/>
  <c r="AD44" i="15" s="1"/>
  <c r="AS26" i="15"/>
  <c r="AR26" i="15"/>
  <c r="P26" i="15"/>
  <c r="AD26" i="15" s="1"/>
  <c r="AI10" i="15"/>
  <c r="C53" i="5"/>
  <c r="C14" i="5"/>
  <c r="U25" i="15"/>
  <c r="C19" i="5"/>
  <c r="C20" i="5" s="1"/>
  <c r="C32" i="5"/>
  <c r="C42" i="5" s="1"/>
  <c r="Q48" i="15"/>
  <c r="C21" i="5"/>
  <c r="T50" i="15"/>
  <c r="AL50" i="15"/>
  <c r="S50" i="15"/>
  <c r="AH50" i="15"/>
  <c r="I50" i="15"/>
  <c r="AG50" i="15"/>
  <c r="AI50" i="15"/>
  <c r="AR50" i="15"/>
  <c r="AS50" i="15"/>
  <c r="S10" i="15"/>
  <c r="AG10" i="15"/>
  <c r="AH10" i="15"/>
  <c r="AS10" i="15"/>
  <c r="P19" i="15"/>
  <c r="AD19" i="15" s="1"/>
  <c r="AH49" i="15"/>
  <c r="S49" i="15"/>
  <c r="T49" i="15"/>
  <c r="AG49" i="15"/>
  <c r="AL49" i="15"/>
  <c r="I49" i="15"/>
  <c r="AI49" i="15"/>
  <c r="AR49" i="15"/>
  <c r="AS49" i="15"/>
  <c r="C6" i="5"/>
  <c r="C30" i="5"/>
  <c r="C40" i="5" s="1"/>
  <c r="T10" i="15"/>
  <c r="P11" i="15"/>
  <c r="Q11" i="15" s="1"/>
  <c r="P51" i="15"/>
  <c r="Q51" i="15" s="1"/>
  <c r="P31" i="15"/>
  <c r="AD31" i="15" s="1"/>
  <c r="AH31" i="15"/>
  <c r="S31" i="15"/>
  <c r="AG31" i="15"/>
  <c r="AR31" i="15"/>
  <c r="AL31" i="15"/>
  <c r="AI31" i="15"/>
  <c r="I31" i="15"/>
  <c r="T31" i="15"/>
  <c r="AS31" i="15"/>
  <c r="P49" i="15"/>
  <c r="Q49" i="15" s="1"/>
  <c r="C7" i="5"/>
  <c r="AP58" i="15"/>
  <c r="AR10" i="15"/>
  <c r="Q38" i="15"/>
  <c r="P50" i="15"/>
  <c r="AD50" i="15" s="1"/>
  <c r="AR11" i="15"/>
  <c r="AL11" i="15"/>
  <c r="T11" i="15"/>
  <c r="S11" i="15"/>
  <c r="AS11" i="15"/>
  <c r="I11" i="15"/>
  <c r="AI11" i="15"/>
  <c r="AH11" i="15"/>
  <c r="AG11" i="15"/>
  <c r="P9" i="15"/>
  <c r="AD9" i="15" s="1"/>
  <c r="AR13" i="15"/>
  <c r="T13" i="15"/>
  <c r="AR30" i="15"/>
  <c r="AH30" i="15"/>
  <c r="I30" i="15"/>
  <c r="AI30" i="15"/>
  <c r="S30" i="15"/>
  <c r="AG30" i="15"/>
  <c r="T30" i="15"/>
  <c r="AL30" i="15"/>
  <c r="AS30" i="15"/>
  <c r="I21" i="15"/>
  <c r="T21" i="15"/>
  <c r="AG21" i="15"/>
  <c r="AI21" i="15"/>
  <c r="S21" i="15"/>
  <c r="AH21" i="15"/>
  <c r="AL21" i="15"/>
  <c r="AR21" i="15"/>
  <c r="AS21" i="15"/>
  <c r="P20" i="15"/>
  <c r="AD20" i="15" s="1"/>
  <c r="Q30" i="15"/>
  <c r="I44" i="15"/>
  <c r="I10" i="15"/>
  <c r="AG45" i="15"/>
  <c r="T45" i="15"/>
  <c r="S45" i="15"/>
  <c r="AL45" i="15"/>
  <c r="AR45" i="15"/>
  <c r="AH45" i="15"/>
  <c r="AI45" i="15"/>
  <c r="AS45" i="15"/>
  <c r="P21" i="15"/>
  <c r="Q21" i="15" s="1"/>
  <c r="AS20" i="15"/>
  <c r="AR20" i="15"/>
  <c r="P10" i="15"/>
  <c r="Q10" i="15" s="1"/>
  <c r="AR6" i="15"/>
  <c r="S6" i="15"/>
  <c r="I6" i="15"/>
  <c r="AL6" i="15"/>
  <c r="AH6" i="15"/>
  <c r="AG6" i="15"/>
  <c r="T6" i="15"/>
  <c r="AI6" i="15"/>
  <c r="AS6" i="15"/>
  <c r="AI55" i="15"/>
  <c r="AH55" i="15"/>
  <c r="S55" i="15"/>
  <c r="T55" i="15"/>
  <c r="AL55" i="15"/>
  <c r="AG55" i="15"/>
  <c r="AR55" i="15"/>
  <c r="AS55" i="15"/>
  <c r="C31" i="5"/>
  <c r="C41" i="5" s="1"/>
  <c r="AO58" i="15"/>
  <c r="AL48" i="15"/>
  <c r="AI48" i="15"/>
  <c r="AH48" i="15"/>
  <c r="S48" i="15"/>
  <c r="T48" i="15"/>
  <c r="AG48" i="15"/>
  <c r="I48" i="15"/>
  <c r="AR48" i="15"/>
  <c r="AS48" i="15"/>
  <c r="S46" i="15"/>
  <c r="AL46" i="15"/>
  <c r="T46" i="15"/>
  <c r="AI46" i="15"/>
  <c r="AH46" i="15"/>
  <c r="AG46" i="15"/>
  <c r="AR46" i="15"/>
  <c r="AS46" i="15"/>
  <c r="P4" i="15"/>
  <c r="AD4" i="15" s="1"/>
  <c r="C13" i="5"/>
  <c r="P6" i="15"/>
  <c r="Q6" i="15" s="1"/>
  <c r="I55" i="15"/>
  <c r="I3" i="15"/>
  <c r="AL3" i="15"/>
  <c r="AH3" i="15"/>
  <c r="T3" i="15"/>
  <c r="AG3" i="15"/>
  <c r="AS3" i="15"/>
  <c r="AR3" i="15"/>
  <c r="AL18" i="15"/>
  <c r="AI18" i="15"/>
  <c r="I18" i="15"/>
  <c r="S18" i="15"/>
  <c r="T18" i="15"/>
  <c r="AH18" i="15"/>
  <c r="AG18" i="15"/>
  <c r="AS18" i="15"/>
  <c r="AR18" i="15"/>
  <c r="I46" i="15"/>
  <c r="AR4" i="15"/>
  <c r="AI4" i="15"/>
  <c r="I4" i="15"/>
  <c r="T4" i="15"/>
  <c r="AL4" i="15"/>
  <c r="S4" i="15"/>
  <c r="AH4" i="15"/>
  <c r="AG4" i="15"/>
  <c r="AS4" i="15"/>
  <c r="AR44" i="15"/>
  <c r="AH44" i="15"/>
  <c r="AL44" i="15"/>
  <c r="T44" i="15"/>
  <c r="AI44" i="15"/>
  <c r="AG44" i="15"/>
  <c r="S44" i="15"/>
  <c r="AS44" i="15"/>
  <c r="AR23" i="15"/>
  <c r="AH23" i="15"/>
  <c r="I23" i="15"/>
  <c r="AI23" i="15"/>
  <c r="S23" i="15"/>
  <c r="AL23" i="15"/>
  <c r="T23" i="15"/>
  <c r="AG23" i="15"/>
  <c r="AS23" i="15"/>
  <c r="AL43" i="15"/>
  <c r="AR43" i="15"/>
  <c r="AI43" i="15"/>
  <c r="T43" i="15"/>
  <c r="AH43" i="15"/>
  <c r="S43" i="15"/>
  <c r="AG43" i="15"/>
  <c r="AS43" i="15"/>
  <c r="I43" i="15"/>
  <c r="AL33" i="15"/>
  <c r="S33" i="15"/>
  <c r="AH33" i="15"/>
  <c r="I33" i="15"/>
  <c r="T33" i="15"/>
  <c r="AG33" i="15"/>
  <c r="AI33" i="15"/>
  <c r="AR33" i="15"/>
  <c r="AS33" i="15"/>
  <c r="C35" i="5"/>
  <c r="C36" i="5" s="1"/>
  <c r="C5" i="5"/>
  <c r="L53" i="15"/>
  <c r="C15" i="5"/>
  <c r="I28" i="15"/>
  <c r="S28" i="15"/>
  <c r="AL28" i="15"/>
  <c r="T28" i="15"/>
  <c r="AG28" i="15"/>
  <c r="AI28" i="15"/>
  <c r="AH28" i="15"/>
  <c r="AR28" i="15"/>
  <c r="AS28" i="15"/>
  <c r="I38" i="15"/>
  <c r="AL38" i="15"/>
  <c r="T38" i="15"/>
  <c r="S38" i="15"/>
  <c r="AG38" i="15"/>
  <c r="AI38" i="15"/>
  <c r="AH38" i="15"/>
  <c r="AS38" i="15"/>
  <c r="AR38" i="15"/>
  <c r="Q15" i="15"/>
  <c r="P16" i="15"/>
  <c r="AD16" i="15" s="1"/>
  <c r="AL16" i="15"/>
  <c r="I16" i="15"/>
  <c r="AH16" i="15"/>
  <c r="AI16" i="15"/>
  <c r="S16" i="15"/>
  <c r="T16" i="15"/>
  <c r="AG16" i="15"/>
  <c r="AS16" i="15"/>
  <c r="AR16" i="15"/>
  <c r="U9" i="15"/>
  <c r="T8" i="15"/>
  <c r="S8" i="15"/>
  <c r="AI8" i="15"/>
  <c r="AL8" i="15"/>
  <c r="I8" i="15"/>
  <c r="AG8" i="15"/>
  <c r="AH8" i="15"/>
  <c r="AR8" i="15"/>
  <c r="AS8" i="15"/>
  <c r="AE40" i="15" l="1"/>
  <c r="AE41" i="15"/>
  <c r="AE35" i="15"/>
  <c r="AE34" i="15"/>
  <c r="AE36" i="15"/>
  <c r="AE31" i="15"/>
  <c r="AE30" i="15"/>
  <c r="AE26" i="15"/>
  <c r="AE20" i="15"/>
  <c r="AE21" i="15"/>
  <c r="AE19" i="15"/>
  <c r="AE18" i="15"/>
  <c r="AE16" i="15"/>
  <c r="AE13" i="15"/>
  <c r="AE14" i="15"/>
  <c r="AE9" i="15"/>
  <c r="AE11" i="15"/>
  <c r="Q5" i="15"/>
  <c r="AE4" i="15"/>
  <c r="Q41" i="15"/>
  <c r="V39" i="15"/>
  <c r="AJ39" i="15"/>
  <c r="AM39" i="15" s="1"/>
  <c r="AK39" i="15"/>
  <c r="Q28" i="15"/>
  <c r="AJ15" i="15"/>
  <c r="AK15" i="15"/>
  <c r="Q46" i="15"/>
  <c r="Q8" i="15"/>
  <c r="Q36" i="15"/>
  <c r="AD25" i="15"/>
  <c r="AE25" i="15" s="1"/>
  <c r="AJ4" i="15"/>
  <c r="AD6" i="15"/>
  <c r="AE6" i="15" s="1"/>
  <c r="AJ6" i="15"/>
  <c r="Q14" i="15"/>
  <c r="AK5" i="15"/>
  <c r="AJ5" i="15"/>
  <c r="AM5" i="15" s="1"/>
  <c r="AJ3" i="15"/>
  <c r="Q18" i="15"/>
  <c r="Q34" i="15"/>
  <c r="Q45" i="15"/>
  <c r="AD10" i="15"/>
  <c r="AE10" i="15" s="1"/>
  <c r="AD29" i="15"/>
  <c r="AE29" i="15" s="1"/>
  <c r="U13" i="15"/>
  <c r="AK13" i="15" s="1"/>
  <c r="AJ13" i="15"/>
  <c r="AM13" i="15" s="1"/>
  <c r="AJ16" i="15"/>
  <c r="AJ14" i="15"/>
  <c r="U10" i="15"/>
  <c r="AK10" i="15" s="1"/>
  <c r="AJ10" i="15"/>
  <c r="AM10" i="15" s="1"/>
  <c r="AJ11" i="15"/>
  <c r="AJ9" i="15"/>
  <c r="AM9" i="15" s="1"/>
  <c r="AK9" i="15"/>
  <c r="AD11" i="15"/>
  <c r="AJ8" i="15"/>
  <c r="AM8" i="15" s="1"/>
  <c r="AD55" i="15"/>
  <c r="AJ55" i="15"/>
  <c r="AM55" i="15" s="1"/>
  <c r="AJ56" i="15"/>
  <c r="AM56" i="15" s="1"/>
  <c r="U54" i="15"/>
  <c r="AK54" i="15" s="1"/>
  <c r="AJ54" i="15"/>
  <c r="AM54" i="15" s="1"/>
  <c r="AD54" i="15"/>
  <c r="AJ50" i="15"/>
  <c r="AM50" i="15" s="1"/>
  <c r="AD49" i="15"/>
  <c r="U51" i="15"/>
  <c r="AK51" i="15" s="1"/>
  <c r="AJ51" i="15"/>
  <c r="AM51" i="15" s="1"/>
  <c r="AJ48" i="15"/>
  <c r="AM48" i="15" s="1"/>
  <c r="AJ49" i="15"/>
  <c r="AM49" i="15" s="1"/>
  <c r="AD51" i="15"/>
  <c r="AJ45" i="15"/>
  <c r="AM45" i="15" s="1"/>
  <c r="AJ46" i="15"/>
  <c r="AM46" i="15" s="1"/>
  <c r="AJ44" i="15"/>
  <c r="AM44" i="15" s="1"/>
  <c r="AJ43" i="15"/>
  <c r="Q35" i="15"/>
  <c r="U41" i="15"/>
  <c r="AK41" i="15" s="1"/>
  <c r="AJ41" i="15"/>
  <c r="U40" i="15"/>
  <c r="V40" i="15" s="1"/>
  <c r="AJ40" i="15"/>
  <c r="AJ38" i="15"/>
  <c r="AJ33" i="15"/>
  <c r="AJ34" i="15"/>
  <c r="AJ36" i="15"/>
  <c r="U35" i="15"/>
  <c r="AK35" i="15" s="1"/>
  <c r="AJ35" i="15"/>
  <c r="AM35" i="15" s="1"/>
  <c r="AJ28" i="15"/>
  <c r="AJ30" i="15"/>
  <c r="AJ29" i="15"/>
  <c r="AJ31" i="15"/>
  <c r="AJ23" i="15"/>
  <c r="U26" i="15"/>
  <c r="V26" i="15" s="1"/>
  <c r="AJ26" i="15"/>
  <c r="AK25" i="15"/>
  <c r="AM25" i="15" s="1"/>
  <c r="AJ24" i="15"/>
  <c r="AK24" i="15"/>
  <c r="AD24" i="15"/>
  <c r="AE24" i="15" s="1"/>
  <c r="U19" i="15"/>
  <c r="AK19" i="15" s="1"/>
  <c r="AJ19" i="15"/>
  <c r="AJ18" i="15"/>
  <c r="AM18" i="15" s="1"/>
  <c r="AJ21" i="15"/>
  <c r="U20" i="15"/>
  <c r="AK20" i="15" s="1"/>
  <c r="AJ20" i="15"/>
  <c r="AD21" i="15"/>
  <c r="V24" i="15"/>
  <c r="Q40" i="15"/>
  <c r="D7" i="5"/>
  <c r="U29" i="15"/>
  <c r="V29" i="15" s="1"/>
  <c r="D9" i="5"/>
  <c r="C43" i="5"/>
  <c r="D12" i="5"/>
  <c r="D6" i="5"/>
  <c r="C22" i="5"/>
  <c r="Q44" i="15"/>
  <c r="U34" i="15"/>
  <c r="AK34" i="15" s="1"/>
  <c r="Q26" i="15"/>
  <c r="U36" i="15"/>
  <c r="AK36" i="15" s="1"/>
  <c r="U56" i="15"/>
  <c r="V56" i="15" s="1"/>
  <c r="U14" i="15"/>
  <c r="V14" i="15" s="1"/>
  <c r="D11" i="5"/>
  <c r="Q31" i="15"/>
  <c r="Q56" i="15"/>
  <c r="Q4" i="15"/>
  <c r="V25" i="15"/>
  <c r="Q20" i="15"/>
  <c r="D14" i="5"/>
  <c r="D13" i="5"/>
  <c r="Q50" i="15"/>
  <c r="C16" i="5"/>
  <c r="D8" i="5"/>
  <c r="U45" i="15"/>
  <c r="AK45" i="15" s="1"/>
  <c r="Q9" i="15"/>
  <c r="U11" i="15"/>
  <c r="AK11" i="15" s="1"/>
  <c r="U31" i="15"/>
  <c r="V31" i="15" s="1"/>
  <c r="U49" i="15"/>
  <c r="AK49" i="15" s="1"/>
  <c r="U50" i="15"/>
  <c r="V50" i="15" s="1"/>
  <c r="D10" i="5"/>
  <c r="U30" i="15"/>
  <c r="AK30" i="15" s="1"/>
  <c r="U21" i="15"/>
  <c r="AK21" i="15" s="1"/>
  <c r="Q19" i="15"/>
  <c r="AL53" i="15"/>
  <c r="D32" i="5" s="1"/>
  <c r="D42" i="5" s="1"/>
  <c r="AH53" i="15"/>
  <c r="D31" i="5" s="1"/>
  <c r="D41" i="5" s="1"/>
  <c r="S53" i="15"/>
  <c r="AI53" i="15"/>
  <c r="D35" i="5" s="1"/>
  <c r="D36" i="5" s="1"/>
  <c r="T53" i="15"/>
  <c r="D21" i="5" s="1"/>
  <c r="AG53" i="15"/>
  <c r="D30" i="5" s="1"/>
  <c r="D40" i="5" s="1"/>
  <c r="AS53" i="15"/>
  <c r="D53" i="5" s="1"/>
  <c r="AR53" i="15"/>
  <c r="AR58" i="15" s="1"/>
  <c r="I53" i="15"/>
  <c r="D15" i="5" s="1"/>
  <c r="U55" i="15"/>
  <c r="V55" i="15" s="1"/>
  <c r="V9" i="15"/>
  <c r="U28" i="15"/>
  <c r="V28" i="15" s="1"/>
  <c r="U44" i="15"/>
  <c r="AK44" i="15" s="1"/>
  <c r="U3" i="15"/>
  <c r="V3" i="15" s="1"/>
  <c r="U48" i="15"/>
  <c r="AK48" i="15" s="1"/>
  <c r="U38" i="15"/>
  <c r="AK38" i="15" s="1"/>
  <c r="U33" i="15"/>
  <c r="V33" i="15" s="1"/>
  <c r="U23" i="15"/>
  <c r="AK23" i="15" s="1"/>
  <c r="U4" i="15"/>
  <c r="V4" i="15" s="1"/>
  <c r="U18" i="15"/>
  <c r="AK18" i="15" s="1"/>
  <c r="D5" i="5"/>
  <c r="U46" i="15"/>
  <c r="V46" i="15" s="1"/>
  <c r="U6" i="15"/>
  <c r="V6" i="15" s="1"/>
  <c r="U43" i="15"/>
  <c r="V43" i="15" s="1"/>
  <c r="AM43" i="15"/>
  <c r="C23" i="5"/>
  <c r="V15" i="15"/>
  <c r="U16" i="15"/>
  <c r="V16" i="15" s="1"/>
  <c r="Q16" i="15"/>
  <c r="U8" i="15"/>
  <c r="AK8" i="15" s="1"/>
  <c r="AM38" i="15" l="1"/>
  <c r="AM41" i="15"/>
  <c r="AM34" i="15"/>
  <c r="AM33" i="15"/>
  <c r="AM36" i="15"/>
  <c r="AM30" i="15"/>
  <c r="AM28" i="15"/>
  <c r="AM24" i="15"/>
  <c r="AM23" i="15"/>
  <c r="AM20" i="15"/>
  <c r="AM19" i="15"/>
  <c r="V20" i="15"/>
  <c r="AM21" i="15"/>
  <c r="AM15" i="15"/>
  <c r="C26" i="5"/>
  <c r="C27" i="5" s="1"/>
  <c r="C46" i="5" s="1"/>
  <c r="C47" i="5" s="1"/>
  <c r="F47" i="5" s="1"/>
  <c r="AM11" i="15"/>
  <c r="AM3" i="15"/>
  <c r="AK40" i="15"/>
  <c r="AM40" i="15" s="1"/>
  <c r="AK6" i="15"/>
  <c r="AM6" i="15" s="1"/>
  <c r="V54" i="15"/>
  <c r="V51" i="15"/>
  <c r="V19" i="15"/>
  <c r="AK26" i="15"/>
  <c r="AM26" i="15" s="1"/>
  <c r="V10" i="15"/>
  <c r="V41" i="15"/>
  <c r="V13" i="15"/>
  <c r="AK3" i="15"/>
  <c r="AK4" i="15"/>
  <c r="AM4" i="15" s="1"/>
  <c r="AK16" i="15"/>
  <c r="AM16" i="15" s="1"/>
  <c r="AK14" i="15"/>
  <c r="AM14" i="15" s="1"/>
  <c r="AK56" i="15"/>
  <c r="D19" i="5"/>
  <c r="D22" i="5" s="1"/>
  <c r="AJ53" i="15"/>
  <c r="AM53" i="15" s="1"/>
  <c r="D33" i="5" s="1"/>
  <c r="AK55" i="15"/>
  <c r="AK50" i="15"/>
  <c r="AK43" i="15"/>
  <c r="AK46" i="15"/>
  <c r="V35" i="15"/>
  <c r="AK33" i="15"/>
  <c r="AK31" i="15"/>
  <c r="AM31" i="15" s="1"/>
  <c r="AK29" i="15"/>
  <c r="AM29" i="15" s="1"/>
  <c r="AK28" i="15"/>
  <c r="F40" i="5"/>
  <c r="F43" i="5"/>
  <c r="F41" i="5"/>
  <c r="F42" i="5"/>
  <c r="F53" i="5"/>
  <c r="F36" i="5"/>
  <c r="F30" i="5"/>
  <c r="F31" i="5"/>
  <c r="F32" i="5"/>
  <c r="F35" i="5"/>
  <c r="F23" i="5"/>
  <c r="F24" i="5"/>
  <c r="F21" i="5"/>
  <c r="F22" i="5"/>
  <c r="F20" i="5"/>
  <c r="F19" i="5"/>
  <c r="C33" i="5"/>
  <c r="F33" i="5" s="1"/>
  <c r="V44" i="15"/>
  <c r="V34" i="15"/>
  <c r="V36" i="15"/>
  <c r="D43" i="5"/>
  <c r="V23" i="15"/>
  <c r="V21" i="15"/>
  <c r="V11" i="15"/>
  <c r="D16" i="5"/>
  <c r="V48" i="15"/>
  <c r="AS58" i="15"/>
  <c r="V8" i="15"/>
  <c r="V45" i="15"/>
  <c r="V38" i="15"/>
  <c r="V30" i="15"/>
  <c r="V49" i="15"/>
  <c r="V18" i="15"/>
  <c r="U53" i="15"/>
  <c r="AK53" i="15" s="1"/>
  <c r="D54" i="5"/>
  <c r="F26" i="5" l="1"/>
  <c r="F27" i="5"/>
  <c r="D20" i="5"/>
  <c r="G20" i="5" s="1"/>
  <c r="D26" i="5"/>
  <c r="D27" i="5" s="1"/>
  <c r="G41" i="5"/>
  <c r="G31" i="5"/>
  <c r="F46" i="5"/>
  <c r="G40" i="5"/>
  <c r="G42" i="5"/>
  <c r="G33" i="5"/>
  <c r="G30" i="5"/>
  <c r="G22" i="5"/>
  <c r="G53" i="5"/>
  <c r="G54" i="5" s="1"/>
  <c r="G43" i="5"/>
  <c r="G32" i="5"/>
  <c r="G35" i="5"/>
  <c r="G24" i="5"/>
  <c r="G36" i="5"/>
  <c r="G21" i="5"/>
  <c r="G19" i="5"/>
  <c r="C37" i="5"/>
  <c r="F37" i="5" s="1"/>
  <c r="V53" i="15"/>
  <c r="D37" i="5"/>
  <c r="G37" i="5" s="1"/>
  <c r="D23" i="5" l="1"/>
  <c r="G23" i="5" s="1"/>
  <c r="G27" i="5"/>
  <c r="D46" i="5"/>
  <c r="G46" i="5" s="1"/>
  <c r="G26" i="5"/>
  <c r="D49" i="5" l="1"/>
  <c r="D50" i="5" s="1"/>
  <c r="D47" i="5"/>
  <c r="G47" i="5" s="1"/>
  <c r="G49" i="5"/>
  <c r="G50"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Robin Matton</author>
  </authors>
  <commentList>
    <comment ref="V46" authorId="0" shapeId="0" xr:uid="{00000000-0006-0000-0600-000001000000}">
      <text>
        <r>
          <rPr>
            <sz val="10"/>
            <color rgb="FF000000"/>
            <rFont val="Tahoma"/>
            <family val="2"/>
          </rPr>
          <t>Leverbaar vanaf augustugs 2018</t>
        </r>
      </text>
    </comment>
    <comment ref="V49" authorId="0" shapeId="0" xr:uid="{00000000-0006-0000-0600-000002000000}">
      <text>
        <r>
          <rPr>
            <sz val="10"/>
            <color rgb="FF000000"/>
            <rFont val="Tahoma"/>
            <family val="2"/>
          </rPr>
          <t>Op de markt vanaf eind 2018.</t>
        </r>
      </text>
    </comment>
    <comment ref="F61" authorId="0" shapeId="0" xr:uid="{00000000-0006-0000-0600-000003000000}">
      <text>
        <r>
          <rPr>
            <sz val="10"/>
            <color rgb="FF000000"/>
            <rFont val="Tahoma"/>
            <family val="2"/>
          </rPr>
          <t xml:space="preserve">Aanschafwaarde
</t>
        </r>
      </text>
    </comment>
    <comment ref="C219" authorId="0" shapeId="0" xr:uid="{00000000-0006-0000-0600-000004000000}">
      <text>
        <r>
          <rPr>
            <sz val="10"/>
            <color rgb="FF000000"/>
            <rFont val="Tahoma"/>
            <family val="2"/>
          </rPr>
          <t>Geen data in ANWB systeem. Trend van segment A - E doorgetrokken voor segment F.</t>
        </r>
      </text>
    </comment>
    <comment ref="C236" authorId="0" shapeId="0" xr:uid="{00000000-0006-0000-0600-000005000000}">
      <text>
        <r>
          <rPr>
            <sz val="10"/>
            <color rgb="FF000000"/>
            <rFont val="Tahoma"/>
            <family val="2"/>
          </rPr>
          <t>Geen data in ANWB systeem. Trend van segment A - E doorgetrokken voor segment F.</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Robin Matton</author>
  </authors>
  <commentList>
    <comment ref="C18" authorId="0" shapeId="0" xr:uid="{00000000-0006-0000-0B00-000001000000}">
      <text>
        <r>
          <rPr>
            <sz val="10"/>
            <color rgb="FF000000"/>
            <rFont val="Tahoma"/>
            <family val="2"/>
          </rPr>
          <t>Leverbaar vanaf augustus 2018</t>
        </r>
      </text>
    </comment>
    <comment ref="C53" authorId="0" shapeId="0" xr:uid="{00000000-0006-0000-0B00-000002000000}">
      <text>
        <r>
          <rPr>
            <sz val="10"/>
            <color rgb="FF000000"/>
            <rFont val="Tahoma"/>
            <family val="2"/>
          </rPr>
          <t>Vanaf eind 2018 op de Nederlandse markt beschikbaar.</t>
        </r>
      </text>
    </comment>
    <comment ref="G53" authorId="0" shapeId="0" xr:uid="{00000000-0006-0000-0B00-000003000000}">
      <text>
        <r>
          <rPr>
            <b/>
            <sz val="10"/>
            <color rgb="FF000000"/>
            <rFont val="Tahoma"/>
            <family val="2"/>
          </rPr>
          <t>Robin Matton:</t>
        </r>
        <r>
          <rPr>
            <sz val="10"/>
            <color rgb="FF000000"/>
            <rFont val="Tahoma"/>
            <family val="2"/>
          </rPr>
          <t xml:space="preserve">
</t>
        </r>
        <r>
          <rPr>
            <sz val="10"/>
            <color rgb="FF000000"/>
            <rFont val="Tahoma"/>
            <family val="2"/>
          </rPr>
          <t>WLTP range, vergelijkbaar EVDB real range</t>
        </r>
      </text>
    </comment>
  </commentList>
</comments>
</file>

<file path=xl/sharedStrings.xml><?xml version="1.0" encoding="utf-8"?>
<sst xmlns="http://schemas.openxmlformats.org/spreadsheetml/2006/main" count="2044" uniqueCount="903">
  <si>
    <t>Autosegment</t>
  </si>
  <si>
    <t>Aantal benzine voertuigen (km/jaar)</t>
  </si>
  <si>
    <t>Aantal diesel voertuigen (km/jaar)</t>
  </si>
  <si>
    <t>Totaal</t>
  </si>
  <si>
    <t>Beschrijving</t>
  </si>
  <si>
    <t>0 tot 10.000km</t>
  </si>
  <si>
    <t>10.000 tot 20.000km</t>
  </si>
  <si>
    <t>20.000 tot 30.000km</t>
  </si>
  <si>
    <t>meer dan 30.000km</t>
  </si>
  <si>
    <t>Benzine of diesel</t>
  </si>
  <si>
    <t>Elektrisch</t>
  </si>
  <si>
    <t>A</t>
  </si>
  <si>
    <t>Submini personenauto's</t>
  </si>
  <si>
    <t>n.v.t.</t>
  </si>
  <si>
    <t>Citroën C1, Toyota Aygo, Volkswagen Up</t>
  </si>
  <si>
    <t>Citroën C-Zero, Mitsubishi iMiEV, Peugeot iOn, Volkswagen e-Up</t>
  </si>
  <si>
    <t>B</t>
  </si>
  <si>
    <t>Kleine personenauto's</t>
  </si>
  <si>
    <t>Ford Fiesta, Volkswagen Polo, Opel Corsa</t>
  </si>
  <si>
    <t>C</t>
  </si>
  <si>
    <t>Kleine middenklasse personenauto's</t>
  </si>
  <si>
    <t>Ford Focus, Volkswagen Golf, Audi A3</t>
  </si>
  <si>
    <t>D</t>
  </si>
  <si>
    <t>Middenklasse personenauto's</t>
  </si>
  <si>
    <t>Audi A4, Peugeot 508, Opel Insignia</t>
  </si>
  <si>
    <t>Hyundai IONIQ electric</t>
  </si>
  <si>
    <t>E</t>
  </si>
  <si>
    <t>Hogere middenklasse personenauto's</t>
  </si>
  <si>
    <t>Volvo S90, BMW 5 Serie, Mercedes-Benz E-Klasse</t>
  </si>
  <si>
    <t>Tesla Model S</t>
  </si>
  <si>
    <t>F</t>
  </si>
  <si>
    <t>Grote personenauto's</t>
  </si>
  <si>
    <t>Audi A8, Mercedes-Benz S-klasse, Jaguar XJ</t>
  </si>
  <si>
    <t>L</t>
  </si>
  <si>
    <t>Lower SUV's</t>
  </si>
  <si>
    <t>Hyundai Tucson, Volvo XC60</t>
  </si>
  <si>
    <t>Hyundai Kona</t>
  </si>
  <si>
    <t>M</t>
  </si>
  <si>
    <t>Upper SUV's</t>
  </si>
  <si>
    <t>BMW X5, Audi Q7</t>
  </si>
  <si>
    <t>Jaquar I-Pace, Tesla Model X</t>
  </si>
  <si>
    <t>Laadruimte kleiner dan 4,5 m3</t>
  </si>
  <si>
    <t>Renault Kangoo Express, Ford Transit</t>
  </si>
  <si>
    <t xml:space="preserve">Renault Kangoo Z.E. (Maxi), Nissan E-NV200, Citroën e-Berlingo Multispace, </t>
  </si>
  <si>
    <t>Laadruimte tussen 4,5 en 7 m3</t>
  </si>
  <si>
    <t>Mercedes-Benz Vito, Volkswagen Transporter</t>
  </si>
  <si>
    <t>Volkswagen E-Vito</t>
  </si>
  <si>
    <t>Laadruimte tussen de 7 en 15 m3</t>
  </si>
  <si>
    <t>Volkswagen Crafter, Fiat Ducato, Mercedes-Benz Sprinter</t>
  </si>
  <si>
    <t>Renault Maser Z.E., Volkswagen E-Crafter</t>
  </si>
  <si>
    <t>Opmerkingen en bronvermelding</t>
  </si>
  <si>
    <t xml:space="preserve">De segmenten G (of S; sportieve modellen), H (sportwagens), en I (toplimosines) zijn buiten beschouwing gelaten omdat deze typen voertuigen niet van toepassing zijn voor het wagenpark van publieke organisaties. Binnen het segment J is nog geen geschikt volledig elektrisch model. </t>
  </si>
  <si>
    <t>https://autorai.nl/duidelijkheid-over-autosegmenten/</t>
  </si>
  <si>
    <t>Bron: ANWB; Overizcht elektrische voertuigen</t>
  </si>
  <si>
    <t>https://www.anwb.nl/auto/themas/elektrisch-rijden/elektrische-autos/welke-autos-zijn-er/welke-autos-zijn-er</t>
  </si>
  <si>
    <t>BOVAG: Mobiliteit in Cijfers; auto's 2017 - 2018</t>
  </si>
  <si>
    <t>Bron: ANWB; Top10 elektische bestelauto's</t>
  </si>
  <si>
    <t>https://www.anwb.nl/zakelijk/nieuws/2017/juli/top10-elektrische-bestelautos-2017</t>
  </si>
  <si>
    <t>Invoer parameters</t>
  </si>
  <si>
    <t>Uw parameters</t>
  </si>
  <si>
    <t>jaar</t>
  </si>
  <si>
    <t>Groene stroom</t>
  </si>
  <si>
    <t>Ja</t>
  </si>
  <si>
    <t>Nee</t>
  </si>
  <si>
    <t>Uitgangspunten en bronvermelding</t>
  </si>
  <si>
    <t>Gekozen restwaarde percentage</t>
  </si>
  <si>
    <t>Bronnen:</t>
  </si>
  <si>
    <t>ANWB (2018), Autowaarde berekenen</t>
  </si>
  <si>
    <t>https://www.anwb.nl/auto/koerslijst#/kenteken</t>
  </si>
  <si>
    <t>Emissiefactoren</t>
  </si>
  <si>
    <t>WTW (totaal)</t>
  </si>
  <si>
    <t>Benzine (E95, NL)</t>
  </si>
  <si>
    <t>Diesel (NL)</t>
  </si>
  <si>
    <t>Stroom (oorsprong onbekend, energie mix)</t>
  </si>
  <si>
    <t>Stroom (grijze stroom)</t>
  </si>
  <si>
    <t>Stroom (groene stroom)</t>
  </si>
  <si>
    <t>Emissiefactor stroom gebruikt in berekening</t>
  </si>
  <si>
    <t>Aanames &amp; toelichting</t>
  </si>
  <si>
    <t>1. Dit betreft de "Well-to-Wheel" uitstoot; dit is de uitstoot die wordt veroorzaakt bij de winning van het aardgas of aardolie ("Well-to-Tank'') + de uitstoot die tijdens het rijden wordt veroorzaakt ("Tank-to-Wheel").</t>
  </si>
  <si>
    <t>2. Deze factor neemt niet de uitstoot mee die veroorzaak wordt door het bouwen van een aardgascentrale of een windmolenpark.</t>
  </si>
  <si>
    <t>CO2 emissiefactoren</t>
  </si>
  <si>
    <t>https://www.co2emissiefactoren.nl/lijst-emissiefactoren/</t>
  </si>
  <si>
    <t>C) Verbruikscijfers en uitstootcijfers voertuigen</t>
  </si>
  <si>
    <t>Parameter</t>
  </si>
  <si>
    <t xml:space="preserve">Verbruikscijfers </t>
  </si>
  <si>
    <t>Uitstootcijfers</t>
  </si>
  <si>
    <t>Gemiddeld verbruik segmenten personenauto's - benzine</t>
  </si>
  <si>
    <t>L/100 km</t>
  </si>
  <si>
    <t>km/L</t>
  </si>
  <si>
    <t>g/km</t>
  </si>
  <si>
    <t xml:space="preserve">Gemiddeld verbruik segmenten personenauto's - diesel </t>
  </si>
  <si>
    <t>Gemiddeld verbruik segmenten personenauto's - BEV</t>
  </si>
  <si>
    <t>kWh/100 km</t>
  </si>
  <si>
    <t>km/kWh</t>
  </si>
  <si>
    <t>Gemiddeld verbruik segmenten bestelauto's - diesel</t>
  </si>
  <si>
    <t>Gemiddeld verbruik segmenten bestelauto's - BEV</t>
  </si>
  <si>
    <t>2. Dit verbruik wordt volgens een vastgelegde methode gemeten op een rollenbank (type goedkeuring van een voertuig, NEDC (New European Driving Cycle)). Bij deze meting worden twee trajecten nagebootst, een stadsrit en een buitenwegrit. Het vermelde verbruik is het gemiddelde van deze twee ritten. </t>
  </si>
  <si>
    <t>3. Deze verbruikscijfers en uitstootcijfers liggen in de praktijk iets hoger en dit betekent dat het besparingsvoordeel en de CO2 reductie voor elektische voertuigen gunstiger zal uitvallen dan dat de berekeningen laten zien. Naar verwachting zal het 'Brandstofverbruiksboekje' in 2019 de WLTP (NEDC methode verbruiks &amp; uitstootcijfers, Worldwide harmonized Light vehicles Test Procedure) tonen waarna het mogelijk is deze cijfers mee te nemen in de berekeningen. De WLTP is op twee manieren veeleisender dan de NEDC: (a) de testcyclus zelf (harder rijden, sneller optrekken, etc.) en (b) de testomstandigheden in het laboratorium (zoals omgevingstemperatuur, toegestane bandenspanning, situationele aerodynamica (ingeklapte buitenspiegels, afgeplakte naden, etc.)).Het resultaat van deze factoren (a) en (b) is dat de WLTP CO2-waarde van een bepaald merk, model en uitvoering gemiddeld genomen fors hoger is (grofweg tussen 10 en 35%) dan de CO2-waarde van diezelfde model-uitvoeringcombinatie onder het NEDC-regime.</t>
  </si>
  <si>
    <t>4. Voor bestelbussen is per segment (klein, middel en groot) gebruik gemaakt van de top 5 schone bestelbussen van de ANWB.</t>
  </si>
  <si>
    <t>5. Op basis van de bovenstaande verbruikscijfers en emissiefactoren (kopje B) emissiefactoren) voor diesel, benzine en elektriciteit is de jaarlijkse CO2 uitstoot berekend.</t>
  </si>
  <si>
    <t>6. De CO2 uitstootcijfers uit het brandstofboekje zijn gebruikt om de BPM belasting te berekenen, omdat deze cijfers ook de belastingdienst in de berekeningsmethode worden gebruikt.</t>
  </si>
  <si>
    <t>https://www.rdw.nl/-/media/rdw/rdw/pdf/sitecollectiondocuments/vt/naslag/brandstofverbruiksboekje-2018.pdf</t>
  </si>
  <si>
    <t>Elektrische voertuigen database (2018), EVDB Real Range</t>
  </si>
  <si>
    <t>https://ev-database.nl</t>
  </si>
  <si>
    <t>ANWB (2015), Top 10 zuinige en schone bestelauto's</t>
  </si>
  <si>
    <t>https://www.anwb.nl/auto/besparen/top-10-zuinige-autos/top-10-zuinige-bestelautos-overzicht</t>
  </si>
  <si>
    <t>https://mijn.bovag.nl/dossiers/alles-over-de-wltp</t>
  </si>
  <si>
    <t>D) BTW &amp; brandstofprijzen</t>
  </si>
  <si>
    <t>BTW</t>
  </si>
  <si>
    <t>Gemiddelde pomprijs</t>
  </si>
  <si>
    <t>Euro95 (gemiddelde 2018, jan-juli)</t>
  </si>
  <si>
    <t>€/L</t>
  </si>
  <si>
    <t>Diesel (gemiddelde 2018, jan-juli)</t>
  </si>
  <si>
    <t>Elektricieitskosten</t>
  </si>
  <si>
    <t>Elektriciteit - kantoor</t>
  </si>
  <si>
    <t>€/kWh</t>
  </si>
  <si>
    <t>Elektriciteit - thuis</t>
  </si>
  <si>
    <t>Elektriciteit - publieke laadpaal</t>
  </si>
  <si>
    <t>Elektriciteit - snellader</t>
  </si>
  <si>
    <t>Belastingdienst (2018)</t>
  </si>
  <si>
    <t>CBS (2018), pomprijzen motorbrandstoffen</t>
  </si>
  <si>
    <t>http://statline.cbs.nl/StatWeb/publication/?DM=SLNL&amp;PA=81567NED</t>
  </si>
  <si>
    <t>Allego (2018)</t>
  </si>
  <si>
    <t>https://www.allego.nl/e-rijders/alles-over-laden/wat-kost-laden/</t>
  </si>
  <si>
    <t>FastNed (2018)</t>
  </si>
  <si>
    <t>https://fastned.nl/nl/kies-je-prijsplan</t>
  </si>
  <si>
    <t>LeaseBlog (2018)</t>
  </si>
  <si>
    <t>https://www.leaseblog.nl/algemeen/kost-om-elektrische-auto-op-laden/</t>
  </si>
  <si>
    <t xml:space="preserve">E) Aanschafbelasting </t>
  </si>
  <si>
    <t>Belastingdienst (2018), BPM Belasting</t>
  </si>
  <si>
    <t>https://www.belastingdienst.nl/wps/wcm/connect/bldcontentnl/belastingdienst/prive/auto_en_vervoer/belastingen_op_auto_en_motor/bpm/bpm</t>
  </si>
  <si>
    <t>F) Motorrijtuigenbelasting</t>
  </si>
  <si>
    <t>1. De MRB is verschillend voor iedere provincie. De duurste provincie (ZH) is circa 15% duurder dan de goedkoopste provincie (NH). In de berekeningen hanteren we een gemiddelde.</t>
  </si>
  <si>
    <t>2. Voor bestelauto's voor ondernemingen geldt een gereduceerd MRB tarief. Er wordt ervanuit gegaan dat publieke organisaties (gemeenten, provincies, etc.) net als ondernemingen recht hebben op he gereduceerde tarief.</t>
  </si>
  <si>
    <t>https://www.belastingdienst.nl/wps/wcm/connect/nl/auto-en-vervoer/content/hulpmiddel-motorrijtuigenbelasting-berekenen</t>
  </si>
  <si>
    <t>G) Onderhoudskosten en verzekering</t>
  </si>
  <si>
    <t>Onderhoudskosten</t>
  </si>
  <si>
    <t>Gemiddelde onderhoudskosten segmenten personenauto's - diesel / benzine</t>
  </si>
  <si>
    <t>€/km</t>
  </si>
  <si>
    <t>Gemiddelde onderhoudskosten segmenten personenauto's - BEV</t>
  </si>
  <si>
    <t>Gemiddelde onderhoudskosten segmenten bestelauto's - diesel</t>
  </si>
  <si>
    <t>Gemiddelde onderhoudskosten segmenten bestelauto's - BEV</t>
  </si>
  <si>
    <t xml:space="preserve">1. Op basis van cijfers van de ANWB zjn de onderhoudskosten in kaart gebracht per autosegment. Dit is zowel gedaan voor een fossiel voortuig als voor een batterijaangedreven voertuig. Hierboven zijn de gemiddelde onderhoudskosten/km weeregeven. </t>
  </si>
  <si>
    <t>2. Er is een gering  verschil tussen onderhoudskosten van een bezine en een dieselvoertuig en daarom zijn eenzelfde onderhoudskosten aangenomen.</t>
  </si>
  <si>
    <t>3. Aangenomen is dat de voertuigen gebouwd en nieuw zijn aangeschaft op januari 2018 met 0 km op de teller, geen extra opties, 4 jaar in bezit en gemiddeld 20.000 km/jaar. De meest verkochte auto per segment is gekozen, laagst mogelijk aantal deuren.</t>
  </si>
  <si>
    <t>4. In de bovenstaande tabel zijn de gemiddelde onderhoudskosten gepresenteerd (€/km), maar in berekeningen is per segment de afzonderlijke waarde gebruikt.</t>
  </si>
  <si>
    <t xml:space="preserve">Bronnen: </t>
  </si>
  <si>
    <t>ANWB; rekentool Autokosten (2018)</t>
  </si>
  <si>
    <t>https://www.anwb.nl/auto/autokosten#/merkentype</t>
  </si>
  <si>
    <t>Verzekering</t>
  </si>
  <si>
    <t>Op basis van de volgende formule zijn de verzekeringkosten (per jaar) berekend: €250 + 1,5% * bruto cataloguswaarde (aanschafprijs)</t>
  </si>
  <si>
    <t>Auke Hoekstra, Senior Advisor Eletric Mobility TU Eindhoven (2013)</t>
  </si>
  <si>
    <t>H) MIA - Milieu investeringsaftrek</t>
  </si>
  <si>
    <t xml:space="preserve">1. Volledig elektrische auto's met een CO2-uitstoot van 0 g/km komen aanmerking voor 36% subsidie van de aanschafprijs tot 50.000. </t>
  </si>
  <si>
    <t xml:space="preserve">2. Wel geldt er een belastingtarief voor venootschapsbelasting van 25% </t>
  </si>
  <si>
    <t>RVO (2018): Duurzaam Transport, subsidies</t>
  </si>
  <si>
    <t>https://www.rvo.nl/subsidies-regelingen/mia-en-vamil/milieulijst-miavamil/branches-en-themas/duurzaam-transport?utm_campaign=327193004&amp;utm_source=google&amp;utm_medium=cpc&amp;utm_content=262160046159&amp;utm_term=mia%20elektrische%20auto%202018&amp;adgroupid=22648406924&amp;gclid=EAIaIQobChMIha6Sq_vu3AIVBeJ3Ch2GvQj_EAAYASAAEgI-0_D_BwE</t>
  </si>
  <si>
    <t>Resultaten</t>
  </si>
  <si>
    <t>1. Wagenpark en ritten</t>
  </si>
  <si>
    <t>2. CAPEX</t>
  </si>
  <si>
    <t>3. OPEX (per maand)</t>
  </si>
  <si>
    <t>4. TCO resultaat</t>
  </si>
  <si>
    <t>5. Selectie nieuw wagenpark</t>
  </si>
  <si>
    <t>Segment</t>
  </si>
  <si>
    <t>Categorie</t>
  </si>
  <si>
    <t>Elektrische optie</t>
  </si>
  <si>
    <t>TCO wagenpark</t>
  </si>
  <si>
    <t>TCO voertuig (gemiddeld)</t>
  </si>
  <si>
    <t>Opmerkingen</t>
  </si>
  <si>
    <t>Huidig</t>
  </si>
  <si>
    <t>Eenheid</t>
  </si>
  <si>
    <t>Notitie</t>
  </si>
  <si>
    <t>Wagenpark (voertuigen)</t>
  </si>
  <si>
    <t>-</t>
  </si>
  <si>
    <t>Aanname dat gebruikers van het D-segment, ook een Hundai Ioniq zullen aanschaffen.</t>
  </si>
  <si>
    <t>Aanname dat gebruikers van het E-segment, ook een Tesla model S aanschaffen</t>
  </si>
  <si>
    <t>Bestelbus klein</t>
  </si>
  <si>
    <t>Bestelbus middel</t>
  </si>
  <si>
    <t>Bestelbus groot</t>
  </si>
  <si>
    <t>CAPEX (kapitaalkosten)</t>
  </si>
  <si>
    <t>Netto prijs excl. BTW en BPM</t>
  </si>
  <si>
    <t>BPM</t>
  </si>
  <si>
    <t>Netto prijs excl. BTW en incl. BPM</t>
  </si>
  <si>
    <t>Bruto prijs incl. BTW en incl. BPM</t>
  </si>
  <si>
    <t>MIA</t>
  </si>
  <si>
    <t>OPEX (maandelijkse kosten)</t>
  </si>
  <si>
    <t>Verzekeringskosten</t>
  </si>
  <si>
    <t>per maand</t>
  </si>
  <si>
    <t>MRB</t>
  </si>
  <si>
    <t>Afschrijving (incl. BPM)</t>
  </si>
  <si>
    <t>Subtotaal (excl. energiekosten)</t>
  </si>
  <si>
    <t>Energiekosten totaal per jaar</t>
  </si>
  <si>
    <t>per jaar</t>
  </si>
  <si>
    <t>Energiekosten</t>
  </si>
  <si>
    <t>OPEX voor totale looptijd</t>
  </si>
  <si>
    <t>Looptijd is variabel, bijv. 48 maanden/4 jaar</t>
  </si>
  <si>
    <t>TCO analyse</t>
  </si>
  <si>
    <t>Totale kosten voor looptijd</t>
  </si>
  <si>
    <t>Totale maandelijkse kosten</t>
  </si>
  <si>
    <t>Totale besparing</t>
  </si>
  <si>
    <t>Maandelijkse besparing</t>
  </si>
  <si>
    <t>Milieu analyse</t>
  </si>
  <si>
    <t xml:space="preserve">Totale CO2 uitstoot (WTW) </t>
  </si>
  <si>
    <t>ton CO2</t>
  </si>
  <si>
    <t>Well-to-Wheel uistoot gedurende de gekozen looptijd</t>
  </si>
  <si>
    <t xml:space="preserve">Totale CO2 besparing (WTW) </t>
  </si>
  <si>
    <t>Besparing Well-to-Wheel uistoot gedurende de gekozen looptijd</t>
  </si>
  <si>
    <t xml:space="preserve">Autosegment </t>
  </si>
  <si>
    <t>Diesel</t>
  </si>
  <si>
    <t>Van toepassing? *</t>
  </si>
  <si>
    <t>Milieu indicatoren</t>
  </si>
  <si>
    <t>Financiele indicatoren - eenmalig (CAPEX)</t>
  </si>
  <si>
    <t>Financiele indicatoren - maandelijks (OPEX)</t>
  </si>
  <si>
    <t>CO2 uitstoot TTW (1)</t>
  </si>
  <si>
    <t>CO2 uitstoot WTW (2)</t>
  </si>
  <si>
    <t>Verbruik</t>
  </si>
  <si>
    <t>Emissiefactor WTW</t>
  </si>
  <si>
    <t>Emissiefactor TTW</t>
  </si>
  <si>
    <t xml:space="preserve">Netto catalogusprijs </t>
  </si>
  <si>
    <t>Cataloguprijs (bruto)</t>
  </si>
  <si>
    <t>gem_diesel_2016**</t>
  </si>
  <si>
    <t>MIA aanschafsubsidie</t>
  </si>
  <si>
    <t>Brandstofkosten</t>
  </si>
  <si>
    <t xml:space="preserve">Restwaardepercentage </t>
  </si>
  <si>
    <t>[g CO2 / km]</t>
  </si>
  <si>
    <t>[L / 100km]</t>
  </si>
  <si>
    <t>[kg CO2 / L]</t>
  </si>
  <si>
    <t>[€ excl. BTW &amp; BPM]</t>
  </si>
  <si>
    <t>[€]</t>
  </si>
  <si>
    <t>[€ incl. BPM en BTW]</t>
  </si>
  <si>
    <t>[€/maand]</t>
  </si>
  <si>
    <t>[€ / L]</t>
  </si>
  <si>
    <t>[€ / km]</t>
  </si>
  <si>
    <t>[%]</t>
  </si>
  <si>
    <t>[€ / maand]</t>
  </si>
  <si>
    <t>nvt</t>
  </si>
  <si>
    <t>J</t>
  </si>
  <si>
    <t>Bestelbus klein &lt; 1.5 ton (&lt; 4.5 m3 laadruimte)</t>
  </si>
  <si>
    <t xml:space="preserve">Bestelbus gemiddeld &gt; 1.5 &lt; 2 ton (4.5 -  7 m3 laadruimte) </t>
  </si>
  <si>
    <t>Bestelbus groot &gt; 2 ton (&gt; 7m3 laadruimte)</t>
  </si>
  <si>
    <t>Benzine</t>
  </si>
  <si>
    <t>Financiele indicatoren - maandelijks (CAPEX)</t>
  </si>
  <si>
    <t>gem_benz_2016**</t>
  </si>
  <si>
    <t xml:space="preserve">MRB </t>
  </si>
  <si>
    <t>BEV</t>
  </si>
  <si>
    <t>Speficificaties geselecteerde BEV ***</t>
  </si>
  <si>
    <t>gem_elek_2016**</t>
  </si>
  <si>
    <t>Automerk &amp; type</t>
  </si>
  <si>
    <t>Actieradius</t>
  </si>
  <si>
    <t>Accucapaciteit</t>
  </si>
  <si>
    <t>[kWh / 100km]</t>
  </si>
  <si>
    <t>[kg CO2 / kWh]</t>
  </si>
  <si>
    <t>[€ / kWh]</t>
  </si>
  <si>
    <t>[km]</t>
  </si>
  <si>
    <t>[kWh]</t>
  </si>
  <si>
    <t>Notitie:</t>
  </si>
  <si>
    <t>Citroen C-zero / Peugeot iOn</t>
  </si>
  <si>
    <t>Renault Zoe</t>
  </si>
  <si>
    <t>Hyundai Ionic</t>
  </si>
  <si>
    <t>Aanname dat gebruikers van het D-segment, ook een Hundai Ionic zullen aanschaffen.</t>
  </si>
  <si>
    <t>Tesla S 75D</t>
  </si>
  <si>
    <t>Nog geen BEV van op de markt</t>
  </si>
  <si>
    <t>Nog geen BEV in het J-segment op de markt</t>
  </si>
  <si>
    <t>Jaquar I-pace</t>
  </si>
  <si>
    <t>Renault Kangoo Z.E. Maxi</t>
  </si>
  <si>
    <t>Mercedez Benz eVito</t>
  </si>
  <si>
    <t xml:space="preserve">Renault Master Z.E. </t>
  </si>
  <si>
    <t>* Indien geen (of weinig) auto's op de markt zijn voor het bepaalde segment en type brandstof dan zijn de cellen leeggelaten.</t>
  </si>
  <si>
    <t>** BOVAG: Mobiliteit in Cijfers; auto's 2017 - 2018; Gemiddelde aanschafprijs van nieuwe personenauto's (naar brandstofsoort). Dat deze waarde een stukje hoger ligt dan het gemiddelde van de 4 best verkochte auto's per segment, is naar verwachting te verklaren dat aanschafprijs van de meest verkochte auto's lager ligt dan de andere automodellen in de desbetreffende segmenten</t>
  </si>
  <si>
    <t>*** De desbetreffende BEV is geselecteerd o.b.v. het desbetreffende autosegment van de BEV en prijs-kwaliteit verhouding (aanschafprijs vs. grootte batterijpakket)</t>
  </si>
  <si>
    <t xml:space="preserve">Basisbron: </t>
  </si>
  <si>
    <t>https://www.anwb.nl/auto/kopen/auto-kiezen/autokosten</t>
  </si>
  <si>
    <t>A) Looptijd &amp; afschrijving</t>
  </si>
  <si>
    <t>Tesla S - 75 235 kW Basic aut</t>
  </si>
  <si>
    <t>Renault Clio - TCE 0.9</t>
  </si>
  <si>
    <t>Restwaarde (jaar)</t>
  </si>
  <si>
    <t>Aanname:</t>
  </si>
  <si>
    <t xml:space="preserve">Inruilwaarde bij autobedrijf / verkoop tussen particulieren als restwaarde genomen </t>
  </si>
  <si>
    <t>B) Emissiefactoren</t>
  </si>
  <si>
    <t>TTW (energiegebruik)</t>
  </si>
  <si>
    <t>WTT (energieproductie)</t>
  </si>
  <si>
    <t>kg CO2/liter</t>
  </si>
  <si>
    <t>Stroom (oorsprong onbekend, gebruiken voor laden elektrische auto)</t>
  </si>
  <si>
    <t>kg CO2/kWh</t>
  </si>
  <si>
    <t>Emissiefactor gebruikt in berekening</t>
  </si>
  <si>
    <t>CBS emissiefactor integrale methode, 2016</t>
  </si>
  <si>
    <t>CO2 emissiefactoren (2018)</t>
  </si>
  <si>
    <t>CO2 emissiecijfers (CBS, 2016)</t>
  </si>
  <si>
    <t>https://www.cbs.nl/nl-nl/maatwerk/2018/04/rendementen-en-co2-emissie-elektriciteitsproductie-2016</t>
  </si>
  <si>
    <t>C) Verbruikscijfers &amp; uitstootcijfers</t>
  </si>
  <si>
    <t>De verbruikscijfers (km/100L) staan in de bovenstaande tabel.</t>
  </si>
  <si>
    <t>Diesel &amp; benzine voertuigen</t>
  </si>
  <si>
    <t>Voor diesel en benzine voertuigen is gerekend met de NEDC verbruiks en uitstootcijfers (type goedkeuring van een voertuig dat wordt gedaan door de auto fabrikant).</t>
  </si>
  <si>
    <t xml:space="preserve">Voor elektrische voertuigen is de EVDB range gebruikt. </t>
  </si>
  <si>
    <t>Belastingdienst</t>
  </si>
  <si>
    <t xml:space="preserve">E) BPM belasting </t>
  </si>
  <si>
    <t>1) Benzine personenvoertuigen</t>
  </si>
  <si>
    <t>CO2 uitstoot meer dan</t>
  </si>
  <si>
    <t>CO2 uitstoot niet meer dan</t>
  </si>
  <si>
    <t xml:space="preserve">(CO2 uitstoot auto - waarde I)* waarde IV + waarde III </t>
  </si>
  <si>
    <t>I</t>
  </si>
  <si>
    <t>II</t>
  </si>
  <si>
    <t>III</t>
  </si>
  <si>
    <t>IV [€/gCO2]</t>
  </si>
  <si>
    <t>g CO2/km</t>
  </si>
  <si>
    <t>2) Personenvoertuigen diesel (bovenop de bovenstaande BPM toeslag)</t>
  </si>
  <si>
    <t>(&gt; 63)</t>
  </si>
  <si>
    <t>€/gCO2</t>
  </si>
  <si>
    <t>3) Bestelauto's</t>
  </si>
  <si>
    <t>De bpm voor een bestelauto of kampeerauto is een percentage van de nettocatalogusprijsmet een aftrek of toeslag, afhankelijk van de brandstof.</t>
  </si>
  <si>
    <t>Bpm-tarief bestelauto’s of kampeerauto’s</t>
  </si>
  <si>
    <t>% netto-</t>
  </si>
  <si>
    <t>Trek af:</t>
  </si>
  <si>
    <t>Tel op:</t>
  </si>
  <si>
    <t>catalogusprijs</t>
  </si>
  <si>
    <t>Bestelauto of kampeerauto</t>
  </si>
  <si>
    <t>Geen bpm bij geen CO2-uitstoot</t>
  </si>
  <si>
    <t>4) BPM elektrische voertuigen - personen- en bestelauto's</t>
  </si>
  <si>
    <t>F) MRB</t>
  </si>
  <si>
    <t>Een benadering van de complexe tabel die voor verschillende gewichten en provincies de wegenbelasting bepaalt. De duurste provincie (ZH) is circa 15% duurder dan de goedkoopste provincie (NH).</t>
  </si>
  <si>
    <t>Voor bestelauto's voor ondernemingen geld een gereduceerd MRB tarief. Er wordt ervanuit gegaan dat publieke organisaties (gemeenten, provincies, etc.) net als ondernemingen recht hebben op he gereduceerde tarief.</t>
  </si>
  <si>
    <t>MRB elektrische auto's</t>
  </si>
  <si>
    <t>1. Onderhoudskosten - zakelijk (20.000 km/jaar; 4 jaar afschrijving)</t>
  </si>
  <si>
    <t>segment A</t>
  </si>
  <si>
    <t>segment B</t>
  </si>
  <si>
    <t>segment C</t>
  </si>
  <si>
    <t>segment D</t>
  </si>
  <si>
    <t>eenheid</t>
  </si>
  <si>
    <t>Autokosten ANWB per km_fossiel</t>
  </si>
  <si>
    <t>€/km (/jaar)</t>
  </si>
  <si>
    <t>Autokosten ANWB per km_elektrisch</t>
  </si>
  <si>
    <t>Geen EV in dit segment</t>
  </si>
  <si>
    <t>segment E</t>
  </si>
  <si>
    <t>segment F</t>
  </si>
  <si>
    <t>segment J</t>
  </si>
  <si>
    <t>segment L</t>
  </si>
  <si>
    <t>segment M</t>
  </si>
  <si>
    <t>voor bedrijfsauto's</t>
  </si>
  <si>
    <t>De variabele kosten voor onderhoud en reparatie zijn voor servicebeuren, reparaties en banden</t>
  </si>
  <si>
    <t>Bestelwagen klein</t>
  </si>
  <si>
    <t>Bestelwagen middel</t>
  </si>
  <si>
    <t>Bestelwagen groot</t>
  </si>
  <si>
    <t>Voor middel en grote bestelwagen zijn de onderhoudskosten van een kleine bestelwagen gebruikt als basis en deze zijn vermenigvuldigd met een factor van de inhoud van de laadruimtes.</t>
  </si>
  <si>
    <t xml:space="preserve">Aanname: </t>
  </si>
  <si>
    <t>Aangenomen is dat de voertuigen gebouwd en nieuw zijn aangeschaft op januari 2018  met 0 km op de teller, geen extra opties en 10 jaar in bezit. De meest verkochte auto per segment is gekozen, laagst mogelijk aantal deuren, automatisch indien mogelijk, provincie Noord-Holland</t>
  </si>
  <si>
    <t>2. Onderhoudskosten - particulier (20.000 km/jaar; 10 jaar afschrijving)</t>
  </si>
  <si>
    <t>Er is geen groot verschil tussen onderhoudskosten van een bezine en een dieselvoertuig (vb. Volkswagen Golf, 10,000 km/jaar; diesel: 0.04 €/km (reparatie &amp; onderhoud) en 0.018 €/km ; benzine 0.032 €/km (reparatie &amp; onderhoud) en 0.018 €/km (banden)).</t>
  </si>
  <si>
    <t>Daarom is aangenomen dat dezelfde onderhoudskosten gelden voor benzine en diesel voertuigen.</t>
  </si>
  <si>
    <t>Aangenomen is dat de voertuigen gebouwd en nieuw zijn aangeschaft op januari 2018  met 0 km op de teller, geen extra opties en 10 jaar in bezit. De meest verkochte auto per segment is gekozen, laagst mogelijk aantal deuren.</t>
  </si>
  <si>
    <t>Onderhoudskosten voor een elektrische auto liggen gemiddeld 35% lager dan voor benzine- en dieselauto's</t>
  </si>
  <si>
    <t>ANWB &amp; Nibud (2018)</t>
  </si>
  <si>
    <t>https://www.nibud.nl/consumenten/wat-kost-een-auto/</t>
  </si>
  <si>
    <t>Duitse Institut für Automobilwirtschaft (IFA) (2013)</t>
  </si>
  <si>
    <t>https://www.anwb.nl/auto/nieuws/2012/november/elektrische-auto-goedkoper-in-onderhoud</t>
  </si>
  <si>
    <t>2. Verzekering</t>
  </si>
  <si>
    <t>H) Subsidie duurzaam transport</t>
  </si>
  <si>
    <t>Volledig elektrische auto's met een CO2-uitstoot van 0 g/km komen aanmerking voor:</t>
  </si>
  <si>
    <t>Belastingtarief venootschapsbelasting</t>
  </si>
  <si>
    <t>Max. Personenauto's</t>
  </si>
  <si>
    <t>Max. Bestelauto's</t>
  </si>
  <si>
    <t>Voorbeeld:</t>
  </si>
  <si>
    <t>Aanschafprijs personenauto</t>
  </si>
  <si>
    <t xml:space="preserve">MIA subsidie </t>
  </si>
  <si>
    <t>I) Bijtelling (als de auto ook privé wordt ingezet)</t>
  </si>
  <si>
    <t>&gt;0</t>
  </si>
  <si>
    <t>Belastingdienst, 2018</t>
  </si>
  <si>
    <t>https://www.belastingdienst.nl/wps/wcm/connect/bldcontentnl/belastingdienst/zakelijk/winst/inkomstenbelasting/veranderingen-inkomstenbelasting-2018/bijtelling-privegebruik-auto-2018</t>
  </si>
  <si>
    <t>Toelichting</t>
  </si>
  <si>
    <t>We kijken enkel naar de kosten voor de werkgever en niet de voor werknemer. Om deze reden is het mogelijke bijtellingsvoordeel niet meegenomen in de berekening.</t>
  </si>
  <si>
    <t>Huidig wagenpark - aantallen</t>
  </si>
  <si>
    <t>Nieuw wagenpark - aantallen</t>
  </si>
  <si>
    <t>Huidig wagenpark - CAPEX</t>
  </si>
  <si>
    <t>Nieuw wagenpark - CAPEX</t>
  </si>
  <si>
    <t>Huidig wagenpark - OPEX</t>
  </si>
  <si>
    <t>Nieuw wagenpark - OPEX</t>
  </si>
  <si>
    <t>Huidig wagenpark - Milieu</t>
  </si>
  <si>
    <t>Aantal_km_per_jaar</t>
  </si>
  <si>
    <t>Aantal_km_per_jaar (rekenwaarden)</t>
  </si>
  <si>
    <t>Aantal_autos</t>
  </si>
  <si>
    <t>Waarvan_diesel</t>
  </si>
  <si>
    <t>Waarvan_benzine</t>
  </si>
  <si>
    <t>Waarvan_BEV</t>
  </si>
  <si>
    <t>Netto prijs [€, excl. BTW &amp; BPM]</t>
  </si>
  <si>
    <t>BPM [€]</t>
  </si>
  <si>
    <t>Bruto prijs [€, incl. BTW &amp; BPM]</t>
  </si>
  <si>
    <t>MIA [€]</t>
  </si>
  <si>
    <t>Verzekering [€/maand]</t>
  </si>
  <si>
    <t>Brandstof -/ elektriciteitskosten [€/maand]</t>
  </si>
  <si>
    <t>Onderhoudskosten [€/jaar]</t>
  </si>
  <si>
    <t>Restwaarde [€ excl. BTW]</t>
  </si>
  <si>
    <t>Restwaarde [€ incl. BTW]</t>
  </si>
  <si>
    <t>Afschrijving [€/maand]</t>
  </si>
  <si>
    <t>TTW CO2 uitstoot [kg CO2/jaar]</t>
  </si>
  <si>
    <t>WTW CO2 uitstoot [kg CO2/jaar]</t>
  </si>
  <si>
    <t>1</t>
  </si>
  <si>
    <t>2</t>
  </si>
  <si>
    <t>&gt; 30000</t>
  </si>
  <si>
    <t>Vervolg</t>
  </si>
  <si>
    <t xml:space="preserve">Tips </t>
  </si>
  <si>
    <t>Overige vragen</t>
  </si>
  <si>
    <t>Input drop-down menu's</t>
  </si>
  <si>
    <t>Aantal voertuigen</t>
  </si>
  <si>
    <t>Type stroom</t>
  </si>
  <si>
    <t>MIA subsidie</t>
  </si>
  <si>
    <t>Recht op BTW verrekening</t>
  </si>
  <si>
    <t>Looptijd</t>
  </si>
  <si>
    <t>Energie mix</t>
  </si>
  <si>
    <t>Grijze stroom</t>
  </si>
  <si>
    <t>&gt;60</t>
  </si>
  <si>
    <t>Autosegment - letter</t>
  </si>
  <si>
    <t>Autosegment - beschrijving</t>
  </si>
  <si>
    <t>Voorbeelden benzine / diesel</t>
  </si>
  <si>
    <t>Voorbeelden elektrisch</t>
  </si>
  <si>
    <t>Citroën C1, Toyota Aygo, Volkswagen Up, Renault Twingo</t>
  </si>
  <si>
    <t>Mercedes B-Klasse Electric Drive, Renault Zoe</t>
  </si>
  <si>
    <t>BMW I3, Volkswagen e-Golf, Hyundai IONIQ electric, Nissan Leaf, Opel Ampera-e</t>
  </si>
  <si>
    <t>Medium MPV's</t>
  </si>
  <si>
    <t>Renault Scénic, Volkswagen Touran, Opel Zafira Tourer</t>
  </si>
  <si>
    <t>Segment A - Submini personenauto's</t>
  </si>
  <si>
    <t>Merk | model | uitvoering                                             </t>
  </si>
  <si>
    <t>Brandstof</t>
  </si>
  <si>
    <t>BTW (€)</t>
  </si>
  <si>
    <t>Catalogusprijs (bruto)</t>
  </si>
  <si>
    <t>MRB (€/maand)</t>
  </si>
  <si>
    <t>Volkswagen UP - B 44 KW M 96 18</t>
  </si>
  <si>
    <t>Citroen C1 - SCFB3-B1B000</t>
  </si>
  <si>
    <t>Renault Twingo - SCe 70 (95) E6W</t>
  </si>
  <si>
    <t>Opel Karl - 1.0 (55kW) H5 Start/Stop ‘94’</t>
  </si>
  <si>
    <t xml:space="preserve">Benzine </t>
  </si>
  <si>
    <t>Gemiddelde personenauto's segment A - benzine</t>
  </si>
  <si>
    <t>Geen A-klasse auto's die als diesel wordt aangeboden. Minder km, minder comfortabel, minder voordeel diesel</t>
  </si>
  <si>
    <t>CO2 g/km</t>
  </si>
  <si>
    <t>Br. l/100 km</t>
  </si>
  <si>
    <t>Leeg gewicht (kg)</t>
  </si>
  <si>
    <t>Prijs excl. BTW/BPM (€), catalogusprijs netto</t>
  </si>
  <si>
    <t xml:space="preserve">BPM (€) </t>
  </si>
  <si>
    <t>MRB (€)</t>
  </si>
  <si>
    <t>Zuinighuidscategorie</t>
  </si>
  <si>
    <t>Gemiddelde personenauto's segment A - diesel</t>
  </si>
  <si>
    <t>Segment B - Kleine personenauto's</t>
  </si>
  <si>
    <t>Volkswagen Polo - B 48 KW M 108 00</t>
  </si>
  <si>
    <t>Renault Clio - TCe 90 (94) E6W</t>
  </si>
  <si>
    <t>Opel Corsa - 1.0 Turbo (66kW) H6 Start/Stop ‘105’</t>
  </si>
  <si>
    <t>Ford Fiesta 5drs - 1.0 48kW Euro 6 Start/Stop </t>
  </si>
  <si>
    <t>Gemiddelde personenauto's segment B - benzine</t>
  </si>
  <si>
    <t>Renault Clio - dCi 90 (82) E6W</t>
  </si>
  <si>
    <t>Opel Corsa_E 5-deurs - 1.3 CDTi (70kW) Easytronic Start/Stop ‘90’</t>
  </si>
  <si>
    <t>Renault Captur - dCi 90 (95) E6W </t>
  </si>
  <si>
    <t>Ford Fiesta - 1.5TDCi cDPF 63kW Start/Stop</t>
  </si>
  <si>
    <t>Gemiddelde personenauto's segment B - diesel</t>
  </si>
  <si>
    <t>Segment C - Kleine middenklasse personenauto's</t>
  </si>
  <si>
    <t>Prijs excl. BTW/BPM (€), catalugusprijs netto</t>
  </si>
  <si>
    <t>Volkswagen Golf - B 63 KW M 108 31</t>
  </si>
  <si>
    <t>Opel Astra 1.0 Turbo (77kW) H5 Start/Stop ‘102’ </t>
  </si>
  <si>
    <t>Renault Megane - TCe 100 (120) E6W</t>
  </si>
  <si>
    <t>Ford Focus 5drs  - 1.0 EcoBoost 74kW Start/Stop</t>
  </si>
  <si>
    <t>Gemiddelde personenauto's segment C - benzine</t>
  </si>
  <si>
    <t>Volkswagen Golf - D 66 KW M 106 30</t>
  </si>
  <si>
    <t>Opel Astra_K 5-deurs 1.6 CDTi (81kW) H6 </t>
  </si>
  <si>
    <t>Renault Megane - dCi 110 (95) E6W</t>
  </si>
  <si>
    <t>Ford Focus 5drs - 1.5TDCi cDPF 70kW Start/Stop AGS</t>
  </si>
  <si>
    <t>Gemiddelde personenauto's segment C - diesel</t>
  </si>
  <si>
    <t>Segment D - Middenklasse personenauto's</t>
  </si>
  <si>
    <t>Volkswagen Passat -  B 110 KW A 114 48</t>
  </si>
  <si>
    <t>Peugeot 508 - Berline 1.6 e-THP 165 - 121KW 8D5GZM/1S</t>
  </si>
  <si>
    <t xml:space="preserve">BMW 3-serie Sedan F30 - 318i (8E31) ‘groep 1’ </t>
  </si>
  <si>
    <t>Audi A4 - limosine - B 110 KW A 117 50</t>
  </si>
  <si>
    <t>Gemiddelde personenauto's segment D - benzine</t>
  </si>
  <si>
    <t>Volkswagen Passat - D 110 KW A 114 48</t>
  </si>
  <si>
    <t>Peugeot 508 Berline - 1.6 BlueHDI 120 EAT6 - 88KW 8DBHZT/1S</t>
  </si>
  <si>
    <t>BMW 3-serie Sedan F30 - 316d (8F91) ‘groep 1’</t>
  </si>
  <si>
    <t>Audi A4 Limosine - D 100 KW A 103 50</t>
  </si>
  <si>
    <t>Gemiddelde personenauto's segment D - diesel</t>
  </si>
  <si>
    <t>Segment E - Hogere middenklasse personenauto's</t>
  </si>
  <si>
    <t>Mercedes-Benz E-Klasse sedan - E200{A9}(W213)(2)142-6,3</t>
  </si>
  <si>
    <t>BMW 5 Serie Sedan G30 530i Aut. (JA51)</t>
  </si>
  <si>
    <t>Volvo S90 modeljaar 2017 - T5 Geartronic</t>
  </si>
  <si>
    <t>Audi A6 - Audi A6 ALLROAD QUATTRO - D 140 A 149 29</t>
  </si>
  <si>
    <t>Gemiddelde personenauto's segment E - benzine</t>
  </si>
  <si>
    <t>Mercedes-Benz E-Klasse sedan - E200d{A9}(W213)(2)112-4,3</t>
  </si>
  <si>
    <t>BMW 5 Serie Sedan G30 - 520d Efficient Dynamics Aut. (JE31) ‘groep 2’</t>
  </si>
  <si>
    <t xml:space="preserve">Volvo S90 modeljaar 2017 - D4 </t>
  </si>
  <si>
    <t>Audi A6 - ALLROAD QUATTRO D 140 A 149 29</t>
  </si>
  <si>
    <t>Gemiddelde personenauto's segment E - diesel</t>
  </si>
  <si>
    <t>Segment F - Grote personenauto's</t>
  </si>
  <si>
    <t>Mercedes-Benz S-Klasse - S450{A9}(V222)(2)187-8,2</t>
  </si>
  <si>
    <t>BMW 7 Serie G11 - 740i Aut. (7A21) ‘groep 1’</t>
  </si>
  <si>
    <t>Porsche Panamera 4 - B 243 kW A 175 03</t>
  </si>
  <si>
    <t>Audi A8 - B 228 kW A 173 19</t>
  </si>
  <si>
    <t>Gemiddelde personenauto's segment F - benzine</t>
  </si>
  <si>
    <t xml:space="preserve">Mercedes-Benz S-Klasse - S350d{A7}(W222)(1)146-5,5 </t>
  </si>
  <si>
    <t>BMW 7 Serie G11 - 730d Aut. (7C21) ‘groep 1’</t>
  </si>
  <si>
    <t>Porsche Panamera 4S Diesel - D 310 kW A 176 03</t>
  </si>
  <si>
    <t>Audi A8 - D 155 kW A 151 19</t>
  </si>
  <si>
    <t>Gemiddelde personenauto's segment F - diesel</t>
  </si>
  <si>
    <t>Segment J - Medium MPV's</t>
  </si>
  <si>
    <t>Renault Captur - TCe 90 (113) E6W</t>
  </si>
  <si>
    <t>Peugeot 2008 SUV - 1.2 PureTech 82 - 60KW CUHMZ6</t>
  </si>
  <si>
    <t>Opel Mokka_X 1.6 (85kW) H5 Start/Stop ‘153’</t>
  </si>
  <si>
    <t>Dacia Duster - TCe 125 (138) E6W</t>
  </si>
  <si>
    <t>Gemiddelde personenauto's segment J - benzine</t>
  </si>
  <si>
    <t>Renault Captur - dCi 110 (101) E6W</t>
  </si>
  <si>
    <t>Peugeot 2008 SUV - 1.6 BlueHDi 120 - 88KW CUBHZM/S</t>
  </si>
  <si>
    <t>Opel Mokka_X - 1.6 CDTi (81kW) H6 Start/Stop ‘103’</t>
  </si>
  <si>
    <t>Dacia Duster - dCi 110 (115) E6W</t>
  </si>
  <si>
    <t>Gemiddelde personenauto's segment J - diesel</t>
  </si>
  <si>
    <t>Segment L - Lower SUV's</t>
  </si>
  <si>
    <t>Nissan Qashqai - 1.2 85 kW DIG-T (129) E6W</t>
  </si>
  <si>
    <t>Volkswagen Tiguan - B 92 KW M 137 31</t>
  </si>
  <si>
    <t>Peugeot 3008 - 1.2 PureTech 130 - 96KW MRHNYH C1B000</t>
  </si>
  <si>
    <t>Hyundai Tucsn - 1.6 GDI ISG 6MT (147)</t>
  </si>
  <si>
    <t>Gemiddelde personenauto's segment L - benzine</t>
  </si>
  <si>
    <t>Nissan Qashqai - 1.5 81 kW dCi (99) E6W</t>
  </si>
  <si>
    <t>Volkswagen Tiguan - D 110 KW M 123 31</t>
  </si>
  <si>
    <t>G</t>
  </si>
  <si>
    <t>Peugeot 3008 - 1.6 BlueHDI 120 - 88KW MCBHZH C2K000</t>
  </si>
  <si>
    <t>Hyundai Tucson - 1.7 CRDi ISG 6MT (111)</t>
  </si>
  <si>
    <t>Gemiddelde personenauto's segment L - diesel</t>
  </si>
  <si>
    <t>Segment M - Upper SUV's</t>
  </si>
  <si>
    <t>BMW X5 - xDrive35i Aut. (KR01) ‘groep 1’</t>
  </si>
  <si>
    <t>Volvo XC90 modeljaar 2018 - T5 AWD Geartronic</t>
  </si>
  <si>
    <t>Mercedes-Benz GLE - GLE400-4M{A9}(W166)(2)197-8,5</t>
  </si>
  <si>
    <t>Land Rover Range Rover Sport - 3.0 V6 SC 250kW A8 5p ‘243’</t>
  </si>
  <si>
    <t>BMW X5 - xDrive30d Aut. (KS41) ‘groep 2/158’</t>
  </si>
  <si>
    <t>Volvo XC90 modeljaar 2018 - D4 Geartronic</t>
  </si>
  <si>
    <t>Mercedes-Benz GLE - GLE250d{A9}(W166)(3)140-5,4</t>
  </si>
  <si>
    <t>Land Rover Range Rover Sport - 2.0 SD4 177kW A8 5p ‘172’</t>
  </si>
  <si>
    <t>(1)</t>
  </si>
  <si>
    <t>Het nieuwe Rijden (2018), Brandstofverbruiksboekje (type meting, NEDC)</t>
  </si>
  <si>
    <t>(2)</t>
  </si>
  <si>
    <t>(3)</t>
  </si>
  <si>
    <t>Open Data, RDW</t>
  </si>
  <si>
    <t>https://opendata.rdw.nl/Voertuigen/Personenauto-s-met-Catalogusprijs/aq35-ccn7/data</t>
  </si>
  <si>
    <t>(4)</t>
  </si>
  <si>
    <t>Autoweek, BPM calculator</t>
  </si>
  <si>
    <t>https://www.autoweek.nl/bpmcalculator/</t>
  </si>
  <si>
    <t>(5)</t>
  </si>
  <si>
    <t>Autoweek.nl</t>
  </si>
  <si>
    <t>(6)</t>
  </si>
  <si>
    <t>BPM belasting berekenen</t>
  </si>
  <si>
    <t>(7)</t>
  </si>
  <si>
    <t>Autozine, gewichten personenauto's</t>
  </si>
  <si>
    <t>https://www.autozine.nl/overzicht/modellen_techniek.php</t>
  </si>
  <si>
    <t>Verschil WLTP en NEDC</t>
  </si>
  <si>
    <t>https://www.wltp-info.nl/van-nedc-naar-wltp-veranderingen/</t>
  </si>
  <si>
    <t>Bestelauto's klein (&lt; 1,5 ton)</t>
  </si>
  <si>
    <t>Laadvolume (m3)</t>
  </si>
  <si>
    <t>Lengte laadr. (mm)</t>
  </si>
  <si>
    <t>Max. laad- </t>
  </si>
  <si>
    <t>Prijs excl. BTW/BPM (€)</t>
  </si>
  <si>
    <t>gewicht (kg)</t>
  </si>
  <si>
    <t>1 </t>
  </si>
  <si>
    <t>Ford Transit Courier FWD 95 pk diesel</t>
  </si>
  <si>
    <t>2 </t>
  </si>
  <si>
    <t>Citroën Nemo HDI 75FAP EGS</t>
  </si>
  <si>
    <t>Fiat Fiorino 1.3 MJ Start&amp;Stop ComfortMatic</t>
  </si>
  <si>
    <t>Peugeot Bipper XT 1.3HDi 75pk 2Tronic ETG6 + Stop&amp;Start</t>
  </si>
  <si>
    <t>3 </t>
  </si>
  <si>
    <t>Mercedes-Benz, Citan, 108 CDI L BlueEFFICIENCY</t>
  </si>
  <si>
    <t>Renault Kangoo Express dCi 75 ENERGY STOP &amp; START</t>
  </si>
  <si>
    <t>4 </t>
  </si>
  <si>
    <t>Fiat Doblò Cargo L1H1 1.3 MJ 90pk Euro 5+ met ECO Jet engine</t>
  </si>
  <si>
    <t>5 </t>
  </si>
  <si>
    <t>Volkswagen Caddy 1.6TDi 75kW L1H1 BlueMotion</t>
  </si>
  <si>
    <t>6 </t>
  </si>
  <si>
    <t>Citroën Berlingo e-Hdi 90 FAP Airdream EGS Club 'Economy'</t>
  </si>
  <si>
    <t>Peugeot Partner XT Profit+ 120L1 1.6HDi 92pk ETG6 + Stop&amp;Start</t>
  </si>
  <si>
    <t>Gemiddelde kleine bestelauto's (&lt;1,5 ton) / (&lt; 4.5 m3)</t>
  </si>
  <si>
    <t>Bestelauto's middel (&gt;1,5 ton &lt; 1,75 ton)</t>
  </si>
  <si>
    <t>Mercedes-Benz, Vito, 116 CDI</t>
  </si>
  <si>
    <t>Volkswagen Transporter 2.0 TDi 84kW L1H1 BlueMotion</t>
  </si>
  <si>
    <t>Opel Vivaro Edition L1H1 2700 88kW/120pk MT6</t>
  </si>
  <si>
    <t>Renault Trafic L1H1 T27 ENERGY dCi 120 TT STOP &amp; START</t>
  </si>
  <si>
    <t>Citroën Jumpy 10 L1H1 Hdi 125 Economy</t>
  </si>
  <si>
    <t>Peugeot Expert Profit + 227L1H1 2.0HDi 125pk</t>
  </si>
  <si>
    <t>Toyota PROACE 2.0D 128pk Comfort</t>
  </si>
  <si>
    <t>Ford Transit Custom 270 L1H1 Ambiente ECOnetic FWD 100 pk diesel</t>
  </si>
  <si>
    <t>Gemiddelde middel bestelauto's (&gt;1500 ton &lt; 1750 ton) / &gt; 4.5 &lt; 7 m3</t>
  </si>
  <si>
    <t>Bestelauto's groot (&gt;1,75 ton &lt; 2,5 ton)</t>
  </si>
  <si>
    <t>Fiat Ducato 2600 GVW L1H1 2.3 MJ 130 pk ECO</t>
  </si>
  <si>
    <t>Mercedes-Benz Sprinter 213 CDI BlueEFFICIENCY PLUS wb 366</t>
  </si>
  <si>
    <t>Volkswagen Crafter</t>
  </si>
  <si>
    <t>Citroën Jumper HDIF 30L1H1 130 Stop &amp; Start 96kW/130 pk</t>
  </si>
  <si>
    <t>Peugeot Boxer XT 330L1H1 2.2HDi 130pk Stop&amp;Start</t>
  </si>
  <si>
    <t>Renault Master GB L1H1 T28 FWD ENERGY dCi 135 TT STOP &amp; START</t>
  </si>
  <si>
    <t>Opel Movano L1H1 3300 100kW/136pk</t>
  </si>
  <si>
    <t xml:space="preserve">Gemiddelde grote bestelauto's (&gt;1500 ton &lt; 1750 ton) / &gt; 7 m3 </t>
  </si>
  <si>
    <t>MRB, Belastingdienst (2018)</t>
  </si>
  <si>
    <t>BEV personenauto's</t>
  </si>
  <si>
    <t>Auto-segment</t>
  </si>
  <si>
    <t>Prijs excl. BTW/BPM (€), catalugusprijs (netto)</t>
  </si>
  <si>
    <t>€/km batterijpakket</t>
  </si>
  <si>
    <t>BPM (€)</t>
  </si>
  <si>
    <t>BTW (21%)</t>
  </si>
  <si>
    <t>Citroen C-zero</t>
  </si>
  <si>
    <t>BEV, elektrisch</t>
  </si>
  <si>
    <t>Volkswagen e-Up</t>
  </si>
  <si>
    <t>Mitsubishi i-MiEV</t>
  </si>
  <si>
    <t>Peugeot iOn</t>
  </si>
  <si>
    <t>Kia Soul</t>
  </si>
  <si>
    <t>Renault Zoë</t>
  </si>
  <si>
    <t>BMW I3</t>
  </si>
  <si>
    <t>Volkwagen E-golf</t>
  </si>
  <si>
    <t>Nissan Leaf 2</t>
  </si>
  <si>
    <t>Opel Ampera-E</t>
  </si>
  <si>
    <t>Nog geen E-model dit segment</t>
  </si>
  <si>
    <t>Tesla Model S 75D</t>
  </si>
  <si>
    <t>E/F</t>
  </si>
  <si>
    <t>Hogere middenklasse personenauto's / Grote personenauto's</t>
  </si>
  <si>
    <t>Tesla Model S 100D</t>
  </si>
  <si>
    <t>Hogere middenklasse personenauto's/ Grote personenauto's</t>
  </si>
  <si>
    <t>Hyundai Kona Electric</t>
  </si>
  <si>
    <t>Tesla Model X 75D</t>
  </si>
  <si>
    <t>Tesla Model X 100D</t>
  </si>
  <si>
    <t>*EVDB Real range</t>
  </si>
  <si>
    <t>Mercedes B-Klasse Electric Drive, Renault Zoe, Kia Soul</t>
  </si>
  <si>
    <t>Evdatabase</t>
  </si>
  <si>
    <t>ANWB; rekentool Autokosten</t>
  </si>
  <si>
    <t>BEV Bestelauto's</t>
  </si>
  <si>
    <t>MPV's? Personen of laadruimte voor spulen</t>
  </si>
  <si>
    <t>Leeggewicht [kg] / laadvolume [m3]</t>
  </si>
  <si>
    <t>Prijs excl. BTW/BPM (€), catalugusprijs (netto)*</t>
  </si>
  <si>
    <t>Citroën e-Berlingo multispace</t>
  </si>
  <si>
    <t xml:space="preserve">Klein  </t>
  </si>
  <si>
    <t xml:space="preserve">1604 / 3.3 </t>
  </si>
  <si>
    <t>Renault Kangoo ZE Maxi</t>
  </si>
  <si>
    <t>1530 / 4</t>
  </si>
  <si>
    <t>Nissan e-NV200 (7 personen)</t>
  </si>
  <si>
    <t>1689 / 4.2</t>
  </si>
  <si>
    <t>Peuget Partner Tepee eletric</t>
  </si>
  <si>
    <t>1579 / 3.3 - 3.7</t>
  </si>
  <si>
    <t>Groot</t>
  </si>
  <si>
    <t>2500 / 10.7 m3</t>
  </si>
  <si>
    <t>2175 / 13 m3</t>
  </si>
  <si>
    <t>Middel</t>
  </si>
  <si>
    <t>2127 / 6.0-6.6 m3</t>
  </si>
  <si>
    <t>Nog geen marktprijs beschikbaar</t>
  </si>
  <si>
    <t>* Prijzen zijn inclusie batterijpakket</t>
  </si>
  <si>
    <t>ANWB (2014), Top 10 elektrische bestelauto's</t>
  </si>
  <si>
    <t>https://www.anwb.nl/auto/themas/elektrisch-rijden/top10-elektrische-bestelautos</t>
  </si>
  <si>
    <t>Pon's automobielhandel (2018); kick-of Volkswagen e-crafter (ppt)</t>
  </si>
  <si>
    <t>Achtergrond map PIANOo</t>
  </si>
  <si>
    <t xml:space="preserve">Renault E-master; presentatie 2017 </t>
  </si>
  <si>
    <t>Mercedez-Benz e-Vito</t>
  </si>
  <si>
    <t>https://media.mercedes-benz.nl/mercedes-benz-vans-introduceert-volledig-elektrische-evito-en-esprinter/</t>
  </si>
  <si>
    <t>https://www.mercedes-benz.nl/content/media_library/netherlands/mpc/bestelwagens_ng/Brochures/nieuwe_vito_gesloten.object-Single-MEDIA.tmp/Vito_GB_-Dubbelcabine_prijslijst_jan_18.pdf</t>
  </si>
  <si>
    <t>Verschil NEDC range en EVBD real range</t>
  </si>
  <si>
    <t>NEDC</t>
  </si>
  <si>
    <t>EVDB</t>
  </si>
  <si>
    <t>Verchil in range</t>
  </si>
  <si>
    <t>BMW i3</t>
  </si>
  <si>
    <t>Tesla S D70</t>
  </si>
  <si>
    <t>Volkwagen Polo</t>
  </si>
  <si>
    <t>Meest verkocht t/m juli 2018</t>
  </si>
  <si>
    <t>1. Volkswagen Polo met 8.569 registraties en 3,4 procent marktaandeel</t>
  </si>
  <si>
    <t>2. Ford Fiesta (6.220 / 2,5 procent)</t>
  </si>
  <si>
    <t>3. Renault Clio (6.215 / 2,5 procent)</t>
  </si>
  <si>
    <t>4. Opel Karl (6.058 / 2,4 procent)</t>
  </si>
  <si>
    <t>5. KIA Picanto (5.973 / 2,4 procent)</t>
  </si>
  <si>
    <t>Meest verkocht 2017, NL</t>
  </si>
  <si>
    <t>1. Renault Clio - 11.780 stuks</t>
  </si>
  <si>
    <t>2. Volkswagen Golf - 11.146 stuks</t>
  </si>
  <si>
    <t>3. Volkswagen Up - 10.851 stuks</t>
  </si>
  <si>
    <t>4. Opel Karl - 9.907 stuks</t>
  </si>
  <si>
    <t>5. Kia Picanto - 9.625 stuks</t>
  </si>
  <si>
    <t>6. Opel Astra - 9.447 stuks</t>
  </si>
  <si>
    <t>7. Ford Fiesta - 8.760 stuks</t>
  </si>
  <si>
    <t>8. Volkswagen Polo - 8.654 stuks</t>
  </si>
  <si>
    <t>9. Renault Captur - 7.944 stuks</t>
  </si>
  <si>
    <t>10. Renault Megane - 7.723 stuks</t>
  </si>
  <si>
    <t>Meest verkocht 2016, NL</t>
  </si>
  <si>
    <t>1. Volkswagen Golf - 10.780</t>
  </si>
  <si>
    <t>2. Renault Clio - 10.730</t>
  </si>
  <si>
    <t>3. Volkswagen Polo - 9.945</t>
  </si>
  <si>
    <t>4. Opel Astra - 9.893</t>
  </si>
  <si>
    <t>5. Volkswagen Up - 8.638</t>
  </si>
  <si>
    <t>6. Ford Fiesta - 8.345</t>
  </si>
  <si>
    <t>7. Peugeot 108 - 8.246</t>
  </si>
  <si>
    <t>8. Kia Picanto - 8.216</t>
  </si>
  <si>
    <t>9. Volkswagen Passat - 8.022</t>
  </si>
  <si>
    <t>10. Renault Captur - 7.853</t>
  </si>
  <si>
    <t>Top tien personenautopark naar model, 2016</t>
  </si>
  <si>
    <t>Totaal 1.821.529</t>
  </si>
  <si>
    <t>1. Volkswagen Golf 280.175</t>
  </si>
  <si>
    <t>2. Volkswagen Polo 240.413</t>
  </si>
  <si>
    <t>3. Opel Corsa 220.196</t>
  </si>
  <si>
    <t>4. Opel Astra 190.289</t>
  </si>
  <si>
    <t>5. Ford Focus 176.888</t>
  </si>
  <si>
    <t>6. Renault Clio 156.019</t>
  </si>
  <si>
    <t>7. Ford Fiesta 150.964</t>
  </si>
  <si>
    <t>8. Peugeot 206 139.269</t>
  </si>
  <si>
    <t>9. Totota Yaris 135.372</t>
  </si>
  <si>
    <t>10. Renault Twingo 131.944</t>
  </si>
  <si>
    <t>Manufacturer</t>
  </si>
  <si>
    <t>Model</t>
  </si>
  <si>
    <t>2013 sales</t>
  </si>
  <si>
    <t>2014 sales</t>
  </si>
  <si>
    <t>2015 sales</t>
  </si>
  <si>
    <t>2016 sales</t>
  </si>
  <si>
    <t>2017 sales</t>
  </si>
  <si>
    <t>% change</t>
  </si>
  <si>
    <t>Rank A-segment</t>
  </si>
  <si>
    <t>(2016–2017)</t>
  </si>
  <si>
    <t>Fiat</t>
  </si>
  <si>
    <t> +3.4%</t>
  </si>
  <si>
    <t>Panda</t>
  </si>
  <si>
    <t> –1.8%</t>
  </si>
  <si>
    <t>Volkswagen</t>
  </si>
  <si>
    <t>up!</t>
  </si>
  <si>
    <t> +4.0%</t>
  </si>
  <si>
    <t>Hyundai</t>
  </si>
  <si>
    <t>i10</t>
  </si>
  <si>
    <t> +6.1%</t>
  </si>
  <si>
    <t>Toyota</t>
  </si>
  <si>
    <t>Aygo</t>
  </si>
  <si>
    <t> +0.3%</t>
  </si>
  <si>
    <t>Rank B-segment</t>
  </si>
  <si>
    <t>Renault</t>
  </si>
  <si>
    <t>Clio</t>
  </si>
  <si>
    <t>Polo</t>
  </si>
  <si>
    <t> –11.7%</t>
  </si>
  <si>
    <t>Ford</t>
  </si>
  <si>
    <t>Fiesta</t>
  </si>
  <si>
    <t> –14.5%</t>
  </si>
  <si>
    <t>Peugeot</t>
  </si>
  <si>
    <t> –1.9%</t>
  </si>
  <si>
    <t>Corsa</t>
  </si>
  <si>
    <t> –12.0%</t>
  </si>
  <si>
    <t>Rank C-segment</t>
  </si>
  <si>
    <t>Golf</t>
  </si>
  <si>
    <t>Škoda</t>
  </si>
  <si>
    <t>Octavia</t>
  </si>
  <si>
    <t>Astra</t>
  </si>
  <si>
    <t> –13.5%</t>
  </si>
  <si>
    <t>Focus</t>
  </si>
  <si>
    <t> +0.1%</t>
  </si>
  <si>
    <t>Mégane</t>
  </si>
  <si>
    <t> +13.2%</t>
  </si>
  <si>
    <t>Rank D-segment</t>
  </si>
  <si>
    <t>Passat</t>
  </si>
  <si>
    <t> –11.4%</t>
  </si>
  <si>
    <t>Superb</t>
  </si>
  <si>
    <t> –5.2%</t>
  </si>
  <si>
    <t>Insignia</t>
  </si>
  <si>
    <t> –1.1%</t>
  </si>
  <si>
    <t>Mondeo</t>
  </si>
  <si>
    <t> –20.8%</t>
  </si>
  <si>
    <t>Talisman</t>
  </si>
  <si>
    <t>—</t>
  </si>
  <si>
    <t> –6.4%</t>
  </si>
  <si>
    <t>Rank E-segment</t>
  </si>
  <si>
    <t>Mercedes-Benz</t>
  </si>
  <si>
    <t>E-Class</t>
  </si>
  <si>
    <t> +28.3%</t>
  </si>
  <si>
    <t>BMW</t>
  </si>
  <si>
    <t>5 Series</t>
  </si>
  <si>
    <t> +34.7%</t>
  </si>
  <si>
    <t>Audi</t>
  </si>
  <si>
    <t> –15.5%</t>
  </si>
  <si>
    <t>Volvo</t>
  </si>
  <si>
    <t> +409.4%</t>
  </si>
  <si>
    <t>Tesla</t>
  </si>
  <si>
    <t>Model S</t>
  </si>
  <si>
    <t> +38.6%</t>
  </si>
  <si>
    <t>Rank F-segment</t>
  </si>
  <si>
    <t>S-Class</t>
  </si>
  <si>
    <t> –1.4%</t>
  </si>
  <si>
    <t>7 Series</t>
  </si>
  <si>
    <t> –13.4%</t>
  </si>
  <si>
    <t>Porsche</t>
  </si>
  <si>
    <t>Panamera</t>
  </si>
  <si>
    <t> +233.7%</t>
  </si>
  <si>
    <t> +9.6%</t>
  </si>
  <si>
    <t>Jaguar</t>
  </si>
  <si>
    <t>XJ</t>
  </si>
  <si>
    <t> –19.1%</t>
  </si>
  <si>
    <t>Rank J-segment</t>
  </si>
  <si>
    <t>Captur</t>
  </si>
  <si>
    <t> +2.5%</t>
  </si>
  <si>
    <t>Mokka</t>
  </si>
  <si>
    <t>Dacia</t>
  </si>
  <si>
    <t>Duster</t>
  </si>
  <si>
    <t> +4.2%</t>
  </si>
  <si>
    <t>Nissan</t>
  </si>
  <si>
    <t>Juke</t>
  </si>
  <si>
    <t> –6.5%</t>
  </si>
  <si>
    <t>Rank L-Segment</t>
  </si>
  <si>
    <t>(2016-2017)</t>
  </si>
  <si>
    <t>Qashqai</t>
  </si>
  <si>
    <t>Tiguan</t>
  </si>
  <si>
    <t>Hyunday</t>
  </si>
  <si>
    <t>Tucson</t>
  </si>
  <si>
    <t>Kuga</t>
  </si>
  <si>
    <t>Premium large SUV segment</t>
  </si>
  <si>
    <t>X5</t>
  </si>
  <si>
    <t>XC90</t>
  </si>
  <si>
    <t>Q7</t>
  </si>
  <si>
    <t>Geen gegevens over bekend in brandstofverbruiksboekje</t>
  </si>
  <si>
    <t>GLE</t>
  </si>
  <si>
    <t>Range Rover</t>
  </si>
  <si>
    <t>Sport</t>
  </si>
  <si>
    <t>Handmatige invoer restwaardepercentage?</t>
  </si>
  <si>
    <t>Aandeel laden</t>
  </si>
  <si>
    <t>%</t>
  </si>
  <si>
    <t>Nieuw wagenpark - Milieu</t>
  </si>
  <si>
    <t>Elektriciteitsprijs gebruikt in berekening</t>
  </si>
  <si>
    <t>Welkom bij deze TCO-tool voor dienstvoertuigen</t>
  </si>
  <si>
    <t xml:space="preserve">Doel van deze TCO-tool: inzicht in haalbaarheid elektrische dienstvertuigen  </t>
  </si>
  <si>
    <t>Waarom elektrisch?</t>
  </si>
  <si>
    <t>Direct aan de slag met deze TCO-tool in 5 stappen</t>
  </si>
  <si>
    <t>1. Keuze looptijd contract</t>
  </si>
  <si>
    <t>2. Elektriciteitsbron</t>
  </si>
  <si>
    <t xml:space="preserve">3. Recht op btw-verrekening </t>
  </si>
  <si>
    <t xml:space="preserve">4 Recht op MIA subsidie </t>
  </si>
  <si>
    <t>5. Aandeel laden kantoor</t>
  </si>
  <si>
    <t>5. Aandeel laden thuis</t>
  </si>
  <si>
    <t>6. Handmatige invoer restwaardepercentage? ***</t>
  </si>
  <si>
    <t xml:space="preserve">6. Handmatige invoer restwaardepercentage </t>
  </si>
  <si>
    <t>5. Aandeel laden openbaar *</t>
  </si>
  <si>
    <t>*    We gaan er vanuit dat in het openbaar geen gebruik wordt gemaakt van snelladers en enkel van reguliere publieke laadinfrastructuur.</t>
  </si>
  <si>
    <t xml:space="preserve"> </t>
  </si>
  <si>
    <t xml:space="preserve">           </t>
  </si>
  <si>
    <t xml:space="preserve">7. In de bovenstaande tabel zijn gemiddelde waarden van het verbruik (L/100 km) en CO2 uistoot (CO2 g/km) gepresenteerd, maar in berekeningen is per segment de afzonderlijke waarde gebruikt.  De waardes verschillen namelijk sterk per segment. </t>
  </si>
  <si>
    <t>Renault Zoe, Kia Soul</t>
  </si>
  <si>
    <r>
      <t xml:space="preserve">Voer in de oranje tabel hieronder in de witte vakken de parameters in zoals ze gelden voor uw organisatie. Naast de beknopte uitleg in deze tabel, treft u in de groene tabel hieronder meer informatie en uitleg over de uitgangspunten van deze TCO-tool.
</t>
    </r>
    <r>
      <rPr>
        <b/>
        <sz val="16"/>
        <color theme="1"/>
        <rFont val="Corbel"/>
      </rPr>
      <t>1. Keuze looptijd contract:</t>
    </r>
    <r>
      <rPr>
        <sz val="16"/>
        <color theme="1"/>
        <rFont val="Corbel"/>
      </rPr>
      <t xml:space="preserve"> binnen uw organisatie bestaat voorkeur voor een bepaalde looptijd. Houd er rekening mee dat de business case voor de overgang naar elektrisch bij een langere contractduur gunstiger uitkomt. Dit komt door de relatief lage onderhouds- en brandstofkosten van elektrische voertuigen. Vul hieronder eerst de bestaande looptijd in en bekijk de resultaten. Overweeg daarna te experimenteren met verschillende looptijden. 
</t>
    </r>
    <r>
      <rPr>
        <b/>
        <sz val="16"/>
        <color theme="1"/>
        <rFont val="Corbel"/>
      </rPr>
      <t>2. Elektriciteitsbron:</t>
    </r>
    <r>
      <rPr>
        <sz val="16"/>
        <color theme="1"/>
        <rFont val="Corbel"/>
      </rPr>
      <t xml:space="preserve"> opladen van elektrische voertuigen gebeurt bij voorkeur op groene stroom, mede vanwege de CO2 impact. Zie hiernaast een indicatie van het verschil in impact tussen gebruik van huidige energiemix en groene stroom. Vul hieronder in op wat voor stroom de elektrische voertuigen gaan laden. Meer tips over laden treft u op tabblad 5. 
</t>
    </r>
    <r>
      <rPr>
        <b/>
        <sz val="16"/>
        <color theme="1"/>
        <rFont val="Corbel"/>
      </rPr>
      <t>3. Recht op btw-verrekening:</t>
    </r>
    <r>
      <rPr>
        <sz val="16"/>
        <color theme="1"/>
        <rFont val="Corbel"/>
      </rPr>
      <t xml:space="preserve"> vul hieronder 'ja' of 'nee' in, afhankelijk van de situatie van uw organisatie.
</t>
    </r>
    <r>
      <rPr>
        <b/>
        <sz val="16"/>
        <color theme="1"/>
        <rFont val="Corbel"/>
      </rPr>
      <t xml:space="preserve">4. Recht op MIA subsidie: </t>
    </r>
    <r>
      <rPr>
        <sz val="16"/>
        <color theme="1"/>
        <rFont val="Corbel"/>
      </rPr>
      <t xml:space="preserve">vul hieronder 'ja' of 'nee' in, afhankelijk van de situatie van uw organisatie. Uw organisatie komt in aamerking voor MIA subsidie indien uw organisatie venootschapsbelasting betaalt. 
</t>
    </r>
    <r>
      <rPr>
        <b/>
        <sz val="16"/>
        <color theme="1"/>
        <rFont val="Corbel"/>
      </rPr>
      <t xml:space="preserve">5. Aandeel laden kantoor, thuis en openbaar: </t>
    </r>
    <r>
      <rPr>
        <sz val="16"/>
        <color theme="1"/>
        <rFont val="Corbel"/>
      </rPr>
      <t xml:space="preserve">afhankelijk van de situatie van uw organisatie worden de elektrische voertuigen na aanschaf op eigen terrein van uw organisatie (laden kantoor), bij medewerkers thuis (laden thuis) en/of op openbare laadinfrastructuur geladen. Keuzes hierover hebben impact op de laadkosten. Laden op kantoor is relatief goedkoop, terwijl openbaar laden relatief gezien weer duurder is. De investering in laadinfrastructuur is niet meegenomen in deze TCO-tool. Indien uw organisatie nog geen laadinfrastructuur heeft vult u daarom bij voorkeur in dat de voertuigen openbaar worden opgeladen. Op deze manier krijgt u een realistisch beeld in de kosten. Meer tips over laden treft u op tabblad 5. </t>
    </r>
    <r>
      <rPr>
        <b/>
        <sz val="16"/>
        <color theme="1"/>
        <rFont val="Corbel"/>
      </rPr>
      <t xml:space="preserve">
6. Invoer restwaardepercentage: </t>
    </r>
    <r>
      <rPr>
        <sz val="16"/>
        <color theme="1"/>
        <rFont val="Corbel"/>
      </rPr>
      <t xml:space="preserve">voer standaard 'nee' in zodat de TCO-tool het restwaardepercentage berekent op basis van de gekozen looptijd. Indien u echter een specfiek restwaardepercentage wenst te gebruiken en/of testen, vul dan 'ja' in en daaronder het gewenste percentage tussen de 0 en 100%. 
</t>
    </r>
  </si>
  <si>
    <t>A) Afschrijving</t>
  </si>
  <si>
    <t>Renault Kangoo Z.E. (Maxi), Nissan E-NV200, Citroën e-Berlingo Multispace</t>
  </si>
  <si>
    <t>BMW i3, Volkswagen e-Golf, Hyundai IONIQ electric, Nissan Leaf 2, Opel Ampera-e</t>
  </si>
  <si>
    <t xml:space="preserve">       De som van het aandeel laden op kantoor, thuis en openbaar moet 100%; als dit niet het geval is geeft cel C13 "ERROR" aan.</t>
  </si>
  <si>
    <t>Afschrijving (incl. BPM) - totale looptid</t>
  </si>
  <si>
    <t>Het is enkel toegestaan een waarde tussen de 0 en 100% invoeren</t>
  </si>
  <si>
    <t>BTW [€]</t>
  </si>
  <si>
    <t>BTW[€]</t>
  </si>
  <si>
    <t xml:space="preserve">  Deze tool is in opdracht van PIANOo ontwikkeld door EVConsult</t>
  </si>
  <si>
    <t xml:space="preserve">Hartelijk welkom in deze TCO-tool voor de overgang naar een elektrisch wagenpark. Deze tool is bedoeld voor gebruik door publieke organisaties die inzicht willen in de kosten- en CO2 impact bij de overgang naar volledig elektrische dienstvoertuigen. De overgang naar elektrische voertuigen brengt significante CO2 besparingen mee. Voor verschillende voertuigtypen geldt dat de overgang naar elektrish ook kostenvoordelen biedt: elektrische voertuigen hebben weliswaar vaak hogere aanschafkosten, maar kennen lagere brandstof- en onderhoudskosten. Voor sommige voertuigtypen geldt dat de ovegang naar elektrisch nog wel duurder is. 
</t>
  </si>
  <si>
    <t xml:space="preserve">Waarom duurzame dienstvoertuigen? </t>
  </si>
  <si>
    <t>Bron: AutoRai</t>
  </si>
  <si>
    <t>https://www.natuurenmilieu.nl/nieuwsberichten/brandstofranking/</t>
  </si>
  <si>
    <t xml:space="preserve">(1) </t>
  </si>
  <si>
    <t>De kosten(besparing) kleurt groen of rood als er respectivelijk een besparing of extra kosten zijn.</t>
  </si>
  <si>
    <t>Hogere middenklasse personenauto</t>
  </si>
  <si>
    <t>Middenklasse personenauto</t>
  </si>
  <si>
    <t>Grote personenauto</t>
  </si>
  <si>
    <t>Lower SUV</t>
  </si>
  <si>
    <t>Upper SUV</t>
  </si>
  <si>
    <t>Kleine personenauto</t>
  </si>
  <si>
    <t>Kleine middenklasse personenauto</t>
  </si>
  <si>
    <t>Submini personenauto</t>
  </si>
  <si>
    <t>BOVAG (2018), alles over WLTP</t>
  </si>
  <si>
    <t>https://ev-database.nl/</t>
  </si>
  <si>
    <t>CBS (2018), pompprijzen motorbrandstoffen</t>
  </si>
  <si>
    <t>https://www.anwb.nl/auto/autokosten - /merkentype</t>
  </si>
  <si>
    <t>https://www.rvo.nl/subsidies-regelingen/mia-en-vamil/milieulijst-miavamil/branches-en-themas/duurzaam-transport</t>
  </si>
  <si>
    <t>Voorbeelden voertuigen</t>
  </si>
  <si>
    <t xml:space="preserve">De TCO-tool is geschikt voor gebruik door duurzaamheidsmedewerkers, inkoopmedewerkers, wagenparkbeheerders en beleidsmedewerkers. Met hulp van deze TCO-tool kunt u als publieke organisatie een beeld krijgen in hoeverre de overgang naar elektrische voertuigen voor uw wagenpark haalbaar is. Deze tool geeft op basis van het type voertuigen in het wagenpark van uw organisatie inzicht in de kosten- en CO2 impact bij de overgang naar elektrisch. Op basis van de uitkomsten van de tool kunt u:
1) draagvlak zoeken binnen uw organisatie;
2) haalbare doelstellingen vaststellen;
3) een eerste inzicht krijgen in de business case voor overgang naar elektrisch of uw eigen business case controleren. 
Houd er wel rekening mee dat deze tool een eerste inschatting geeft, maar geen rekening houdt met alle specificaties van uw wagenpark. Maatwerk is nodig om laadbehoeften in kaart te brengen en bij selectie van het volledig elektrische automodel, het model te selecteren met de actieradius die aansluit op de behoefte. </t>
  </si>
  <si>
    <r>
      <t xml:space="preserve">Stap 1: Invoer wagenpark. </t>
    </r>
    <r>
      <rPr>
        <sz val="16"/>
        <color theme="1"/>
        <rFont val="Corbel"/>
      </rPr>
      <t>Voer met de input van uw wagenparkbeheerder in de tabel op het '</t>
    </r>
    <r>
      <rPr>
        <i/>
        <sz val="16"/>
        <color theme="1"/>
        <rFont val="Corbel"/>
      </rPr>
      <t xml:space="preserve">tabblad 1' </t>
    </r>
    <r>
      <rPr>
        <sz val="16"/>
        <color theme="1"/>
        <rFont val="Corbel"/>
      </rPr>
      <t>de aantallen voertuigen in van het deel van uw wagenpark dat u overweegt te elektrificeren. Per voertuig of groep van meerdere voertuigen specificeert u de relevante segmenten (A t/m M en 3 type  bestelbussen) en de relevante kilometrages (0 tot 10.000, 10.000 tot 20.000, 20.000 tot 30.000 of meer dan 30.000). De grijze tabel op '</t>
    </r>
    <r>
      <rPr>
        <i/>
        <sz val="16"/>
        <color theme="1"/>
        <rFont val="Corbel"/>
      </rPr>
      <t>tabblad 1.</t>
    </r>
    <r>
      <rPr>
        <sz val="16"/>
        <color theme="1"/>
        <rFont val="Corbel"/>
      </rPr>
      <t xml:space="preserve">', naast de tabel waarin u de aantallen voertuigen invult, vindt u een overzicht van de voertuigen binnen ieder segment. </t>
    </r>
    <r>
      <rPr>
        <b/>
        <sz val="16"/>
        <color theme="1"/>
        <rFont val="Corbel"/>
      </rPr>
      <t xml:space="preserve">
Stap 2: Invoer parameters. </t>
    </r>
    <r>
      <rPr>
        <sz val="16"/>
        <color theme="1"/>
        <rFont val="Corbel"/>
      </rPr>
      <t>Voer daarna op het tweede tabblad de 4 relevante parameters in. Meer uitleg hierover treft u op '</t>
    </r>
    <r>
      <rPr>
        <i/>
        <sz val="16"/>
        <color theme="1"/>
        <rFont val="Corbel"/>
      </rPr>
      <t>tabblad 2</t>
    </r>
    <r>
      <rPr>
        <sz val="16"/>
        <color theme="1"/>
        <rFont val="Corbel"/>
      </rPr>
      <t>.'</t>
    </r>
    <r>
      <rPr>
        <b/>
        <sz val="16"/>
        <color theme="1"/>
        <rFont val="Corbel"/>
      </rPr>
      <t xml:space="preserve">
Stap 3: Resultaten. </t>
    </r>
    <r>
      <rPr>
        <sz val="16"/>
        <color theme="1"/>
        <rFont val="Corbel"/>
      </rPr>
      <t>Bekijk daarna op het derde tabblad de resultaten. Meer uitleg hierover treft u op '</t>
    </r>
    <r>
      <rPr>
        <i/>
        <sz val="16"/>
        <color theme="1"/>
        <rFont val="Corbel"/>
      </rPr>
      <t>tabblad 3</t>
    </r>
    <r>
      <rPr>
        <sz val="16"/>
        <color theme="1"/>
        <rFont val="Corbel"/>
      </rPr>
      <t>'.</t>
    </r>
    <r>
      <rPr>
        <b/>
        <sz val="16"/>
        <color theme="1"/>
        <rFont val="Corbel"/>
      </rPr>
      <t xml:space="preserve">
Stap 4: Analyse.</t>
    </r>
    <r>
      <rPr>
        <sz val="16"/>
        <color theme="1"/>
        <rFont val="Corbel"/>
      </rPr>
      <t xml:space="preserve"> Bekijk op het vierde tabblad de analyse. Meer uitleg hierover treft u op '</t>
    </r>
    <r>
      <rPr>
        <i/>
        <sz val="16"/>
        <color theme="1"/>
        <rFont val="Corbel"/>
      </rPr>
      <t>tabblad 4</t>
    </r>
    <r>
      <rPr>
        <sz val="16"/>
        <color theme="1"/>
        <rFont val="Corbel"/>
      </rPr>
      <t xml:space="preserve">'. </t>
    </r>
    <r>
      <rPr>
        <b/>
        <sz val="16"/>
        <color theme="1"/>
        <rFont val="Corbel"/>
      </rPr>
      <t xml:space="preserve">
Stap 5: Vervolg. </t>
    </r>
    <r>
      <rPr>
        <sz val="16"/>
        <color theme="1"/>
        <rFont val="Corbel"/>
      </rPr>
      <t>Experimenteer eventueel met de aantallen en type voertuigen op '</t>
    </r>
    <r>
      <rPr>
        <i/>
        <sz val="16"/>
        <color theme="1"/>
        <rFont val="Corbel"/>
      </rPr>
      <t>tabblad 1</t>
    </r>
    <r>
      <rPr>
        <sz val="16"/>
        <color theme="1"/>
        <rFont val="Corbel"/>
      </rPr>
      <t>.' en parameters op '</t>
    </r>
    <r>
      <rPr>
        <i/>
        <sz val="16"/>
        <color theme="1"/>
        <rFont val="Corbel"/>
      </rPr>
      <t>tabblad 2.</t>
    </r>
    <r>
      <rPr>
        <sz val="16"/>
        <color theme="1"/>
        <rFont val="Corbel"/>
      </rPr>
      <t>' om tot een haalbaar plan te komen. Op '</t>
    </r>
    <r>
      <rPr>
        <i/>
        <sz val="16"/>
        <color theme="1"/>
        <rFont val="Corbel"/>
      </rPr>
      <t>tabblad 5.</t>
    </r>
    <r>
      <rPr>
        <sz val="16"/>
        <color theme="1"/>
        <rFont val="Corbel"/>
      </rPr>
      <t xml:space="preserve">' treft u verder een aantal praktische tips, waaronder over laadinfrastructuur. 
</t>
    </r>
  </si>
  <si>
    <t>Jaguar I-Pace, Tesla Model X</t>
  </si>
  <si>
    <t>Bron: BOVAG; autoklassen,  Mobiliteit in Cijfers (2017-2018)</t>
  </si>
  <si>
    <t>https://bovagrai.info/auto/2017/</t>
  </si>
  <si>
    <t>Transport emissies in Nederland: een uitspliting naar CO2, NOx en PM10 emissies ten gevolge van wegverkeer</t>
  </si>
  <si>
    <r>
      <t xml:space="preserve">Hieronder volgen de uitgangspunten van deze TCO-tool en de bronnen die hiervoor zijn gebruikt. Voor de </t>
    </r>
    <r>
      <rPr>
        <i/>
        <sz val="14"/>
        <color theme="1"/>
        <rFont val="Corbel"/>
      </rPr>
      <t>C) verbruikscijfers en uitstootcijfers</t>
    </r>
    <r>
      <rPr>
        <sz val="14"/>
        <color theme="1"/>
        <rFont val="Corbel"/>
      </rPr>
      <t xml:space="preserve"> en </t>
    </r>
    <r>
      <rPr>
        <i/>
        <sz val="14"/>
        <color theme="1"/>
        <rFont val="Corbel"/>
      </rPr>
      <t>D) onderhoudskosten</t>
    </r>
    <r>
      <rPr>
        <sz val="14"/>
        <color theme="1"/>
        <rFont val="Corbel"/>
      </rPr>
      <t xml:space="preserve"> is per autosegment afzonderlijke data gebruikt en wordt er niet gerekend met gemiddelden. Dit om zo goed mogelijk de karakterstieken van het  voertuig in een desbetreffende autosegment mee te nemen in de berekening. Onderstaand zijn overigens wel gemiddelde waarden gepresenteerd om zo tot een overzichtelijke data-input te komen.</t>
    </r>
  </si>
  <si>
    <t xml:space="preserve">Let op: in de bovenstaande tabel zijn gemiddelde waarden van het verbruik (L/100 km) en CO2 uistoot (CO2 g/km) gepresenteerd, maar in berekeningen is per segment de afzonderlijke waarde als input  gebruikt.  De waardes verschillen namelijk sterk per segment. 											</t>
  </si>
  <si>
    <r>
      <t xml:space="preserve">1. Voor diesel en benzine personenvoertuigen is </t>
    </r>
    <r>
      <rPr>
        <u/>
        <sz val="14"/>
        <color rgb="FF000000"/>
        <rFont val="Corbel"/>
      </rPr>
      <t>per autosegment</t>
    </r>
    <r>
      <rPr>
        <sz val="14"/>
        <color rgb="FF000000"/>
        <rFont val="Corbel"/>
      </rPr>
      <t xml:space="preserve"> het verbruik (L/100 km) en de uitstoot (g/km) als input gebruikt. Voor ieder autosgement is het gemiddelde gebruik van de vier meestverkochte auto's gebruikt (2016-2018). </t>
    </r>
  </si>
  <si>
    <t xml:space="preserve">RDW, Het nieuwe Rijden (2018), Brandstofverbruiksboekje </t>
  </si>
  <si>
    <r>
      <t xml:space="preserve">3. Vb: Voor een BEV van </t>
    </r>
    <r>
      <rPr>
        <b/>
        <sz val="14"/>
        <color theme="1"/>
        <rFont val="Corbel"/>
      </rPr>
      <t>€</t>
    </r>
    <r>
      <rPr>
        <sz val="14"/>
        <color theme="1"/>
        <rFont val="Corbel"/>
      </rPr>
      <t>50,000 (aanschafprijs excl. BTW) is het mogelijk €4,500 subsidie te ontvangen (€50,000 * 36% * 25%)</t>
    </r>
  </si>
  <si>
    <r>
      <t xml:space="preserve">Hieronder ziet u de resultaten van uw invoer in tabblad 1 en 2. De resultaten zijn als volgt ingedeeld:
</t>
    </r>
    <r>
      <rPr>
        <b/>
        <sz val="16"/>
        <color theme="1"/>
        <rFont val="Corbel"/>
      </rPr>
      <t>1. Wagenpark en ritten</t>
    </r>
    <r>
      <rPr>
        <sz val="16"/>
        <color theme="1"/>
        <rFont val="Corbel"/>
      </rPr>
      <t xml:space="preserve">: samenvatting van de categorien voertuigen en kilometrages van de door u ingevoerde voertuigen. 
</t>
    </r>
    <r>
      <rPr>
        <b/>
        <sz val="16"/>
        <color theme="1"/>
        <rFont val="Corbel"/>
      </rPr>
      <t>2. CAPEX</t>
    </r>
    <r>
      <rPr>
        <sz val="16"/>
        <color theme="1"/>
        <rFont val="Corbel"/>
      </rPr>
      <t xml:space="preserve">: de aanschafkosten van de door u ingevoerde voertuigen versus de aanschafkosten van de vervangende elektrische voertuigen.
</t>
    </r>
    <r>
      <rPr>
        <b/>
        <sz val="16"/>
        <color theme="1"/>
        <rFont val="Corbel"/>
      </rPr>
      <t>3. OPEX</t>
    </r>
    <r>
      <rPr>
        <sz val="16"/>
        <color theme="1"/>
        <rFont val="Corbel"/>
      </rPr>
      <t xml:space="preserve">: de operationele kosten van de door u ingevoerde voertuigen versus de operationele kosten van vervangende elektrische voertuigen. 
</t>
    </r>
    <r>
      <rPr>
        <b/>
        <sz val="16"/>
        <color theme="1"/>
        <rFont val="Corbel"/>
      </rPr>
      <t>4. TCO resultaat</t>
    </r>
    <r>
      <rPr>
        <sz val="16"/>
        <color theme="1"/>
        <rFont val="Corbel"/>
      </rPr>
      <t xml:space="preserve">: de CO2 besparigen en kosten of kostenbesparingen bij vervanging.
</t>
    </r>
    <r>
      <rPr>
        <b/>
        <sz val="16"/>
        <color theme="1"/>
        <rFont val="Corbel"/>
      </rPr>
      <t>5. Selectie nieuw wagenpark</t>
    </r>
    <r>
      <rPr>
        <sz val="16"/>
        <color theme="1"/>
        <rFont val="Corbel"/>
      </rPr>
      <t>: de mogelijke modellen die u kunt overwegen voor uw duurzame wagenpark.</t>
    </r>
  </si>
  <si>
    <t xml:space="preserve">Op basis van de resultaten van deze TCO-tool heeft u de kosten- en CO2 impact in kaart gebracht van de overgang naar elektrische dienstauto's. Het is de moeite waard om voor wat betreft de invoer van parameters op tabblad 1 en 2 met verschillende scenario's te experimeneren. Hierdoor wordt duidelijk welke voertuigen het meest geschikt zijn voor vervanging op korte termijn, en onder wat voor voorwaarden (zoals bijvoorbeeld een relatief langere contractduur). Met de resultaten kunt u binnen uw organisatie op zoek naar draagvlak voor de aanschaf van elektrische dienstvoertuigen en de daadwerkelijke aanschaf in werking zetten. </t>
  </si>
  <si>
    <r>
      <t>1. Voor de succesvolle overgang naar elektrische dienstauto's zorgt u ook voor voldoende laadpunten op eigen terrein. Laden op eigen terrein is vaak ook kosteneffectief vanwege het gebruik van eigen stroom, die vaak relatief goedkoop is. Aandachtspunten daarbij zijn als volgt:</t>
    </r>
    <r>
      <rPr>
        <sz val="16"/>
        <color theme="1"/>
        <rFont val="Corbel"/>
      </rPr>
      <t xml:space="preserve">
 - </t>
    </r>
    <r>
      <rPr>
        <b/>
        <sz val="16"/>
        <color theme="1"/>
        <rFont val="Corbel"/>
      </rPr>
      <t>Breng eerst de laadbehoefte van uw toekomstige elektrische vloot in kaart aan de hand van het type voertuigen en het ritpatroon</t>
    </r>
    <r>
      <rPr>
        <sz val="16"/>
        <color theme="1"/>
        <rFont val="Corbel"/>
      </rPr>
      <t xml:space="preserve">: afhankelijk van het </t>
    </r>
    <r>
      <rPr>
        <i/>
        <sz val="16"/>
        <color theme="1"/>
        <rFont val="Corbel"/>
      </rPr>
      <t>type voertuigen</t>
    </r>
    <r>
      <rPr>
        <sz val="16"/>
        <color theme="1"/>
        <rFont val="Corbel"/>
      </rPr>
      <t xml:space="preserve"> dat u kiest laden de elektrische voertuigen gemiddeld met een laadsnelheid van 7,6 kW AC (circa 35 km/h) tot maximaal 22 kW (circa 110 km/h). Afhankelijk van het </t>
    </r>
    <r>
      <rPr>
        <i/>
        <sz val="16"/>
        <color theme="1"/>
        <rFont val="Corbel"/>
      </rPr>
      <t>ritpatroon</t>
    </r>
    <r>
      <rPr>
        <sz val="16"/>
        <color theme="1"/>
        <rFont val="Corbel"/>
      </rPr>
      <t xml:space="preserve"> en het </t>
    </r>
    <r>
      <rPr>
        <i/>
        <sz val="16"/>
        <color theme="1"/>
        <rFont val="Corbel"/>
      </rPr>
      <t xml:space="preserve">parkeergedrag </t>
    </r>
    <r>
      <rPr>
        <sz val="16"/>
        <color theme="1"/>
        <rFont val="Corbel"/>
      </rPr>
      <t xml:space="preserve">van uw voertuigen heeft u gemiddeld 2 laadpunten (1 laadpaal met 2 aansluitingen) per 4-5 voertuigen nodig.  De daadwerkelijke laadsnelheid wordt begrenst door de maximale laadsnelheid van het voertuig of de maximale laadsnelheid van de laadpaal (reguliere laadpunten kunnen tot maximaal 22 kW laden). Alleen sommige voertuigen kunnen snelladen. Snelladen gebeurt op snelheden van circa 50 kW DC (circa 250 km/h), maar in veel gevallen loont het niet om ook  snelladers op eigen terrein te plaatsen. Snelladen is vaak niet nodig. 
 - </t>
    </r>
    <r>
      <rPr>
        <b/>
        <sz val="16"/>
        <color theme="1"/>
        <rFont val="Corbel"/>
      </rPr>
      <t>Breng vervolgens de mogelijkheden op de aansluiting van het gebouw in kaart</t>
    </r>
    <r>
      <rPr>
        <sz val="16"/>
        <color theme="1"/>
        <rFont val="Corbel"/>
      </rPr>
      <t xml:space="preserve">: afhankelijk van het energieprofiel van het gebouw en de grootte van de aansluiting heeft u een bepaald volume (in kWh) beschikbaar voor het laden van voertuigen. Qua locatie kiest u bij voorkeur voor een locatie dichtbij de hoofdverdeelkast, hierdoor minimaliseert u de kosten voor benodigde bekabeling naar de laadpunten.  Zorg er verder voor dat laadinfrastructuur op zo'n manier wordt aangelegd dat in de toekomst nog additionele laadpunten kunnen worden aangesloten. 
Zie verder ook de vijf tips van EVConsult op: https://www.evconsult.nl/vijf-tips-voor-laadpunten-op-bedrijfsterreinen-en-bij-kantoorgebouwen/
</t>
    </r>
    <r>
      <rPr>
        <b/>
        <sz val="16"/>
        <color theme="1"/>
        <rFont val="Corbel"/>
      </rPr>
      <t xml:space="preserve">2. Dienstauto's met &gt;150 km per dag 
</t>
    </r>
    <r>
      <rPr>
        <sz val="16"/>
        <color theme="1"/>
        <rFont val="Corbel"/>
      </rPr>
      <t xml:space="preserve">- Afhankelijk van het ritpatroon van de dienstauto is de overgang naar elektrisch wel of niet opportuun. In veel gevallen staat ook een auto die &gt;150 km per dag rijdt voldoende tijd overdag stil (bijvoorbeeld tussen afspraken en/of diensten) om voldoende bij te laden voor de volgende rit. Daarbij let u erop dat het voertuig dat u selecteert een zo groot mogelije range heeft, en een relatief snel laadvermogen. In zulke gevallen is de overgang naar elektrisch geen probleem, en bespaart u hiermee juist veel kosten en CO2 uitstoot. In andere gevallen dienen andere opties te worden overwogen, zoals overgang naar een hybride voertuig (PHEV).
</t>
    </r>
    <r>
      <rPr>
        <b/>
        <sz val="16"/>
        <color theme="1"/>
        <rFont val="Corbel"/>
      </rPr>
      <t xml:space="preserve">3. Gebruiksvriendelijkheid en aandacht voor elektrisch 
</t>
    </r>
    <r>
      <rPr>
        <sz val="16"/>
        <color theme="1"/>
        <rFont val="Corbel"/>
      </rPr>
      <t xml:space="preserve">- Bij de introductie van de eerste elektrische voertuigen in uw vloot helpt het om medewerkers op een toegankelijke manier kennis te laten maken met elektrisch rijden. Dit doet u bijvoorbeeld door de aanschaf van de eerste elektrische dienstauto's te koppelen aan een pilot, training en/of andere campagne. </t>
    </r>
    <r>
      <rPr>
        <b/>
        <sz val="16"/>
        <color theme="1"/>
        <rFont val="Corbel"/>
      </rPr>
      <t xml:space="preserve">
</t>
    </r>
  </si>
  <si>
    <t>https://www.pianoo.nl/nl/inkoopproces</t>
  </si>
  <si>
    <r>
      <rPr>
        <sz val="12"/>
        <color theme="0"/>
        <rFont val="Calibri (Hoofdtekst)_x0000_"/>
      </rPr>
      <t>(</t>
    </r>
    <r>
      <rPr>
        <u/>
        <sz val="12"/>
        <color theme="0"/>
        <rFont val="Calibri (Hoofdtekst)_x0000_"/>
      </rPr>
      <t>geen</t>
    </r>
    <r>
      <rPr>
        <sz val="12"/>
        <color theme="0"/>
        <rFont val="Calibri"/>
        <family val="2"/>
        <scheme val="minor"/>
      </rPr>
      <t xml:space="preserve"> dieselmotor)</t>
    </r>
  </si>
  <si>
    <r>
      <t>(</t>
    </r>
    <r>
      <rPr>
        <u/>
        <sz val="12"/>
        <color theme="0"/>
        <rFont val="Calibri (Hoofdtekst)_x0000_"/>
      </rPr>
      <t>met</t>
    </r>
    <r>
      <rPr>
        <sz val="12"/>
        <color theme="0"/>
        <rFont val="Calibri"/>
        <family val="2"/>
        <scheme val="minor"/>
      </rPr>
      <t xml:space="preserve"> dieselmotor)</t>
    </r>
  </si>
  <si>
    <r>
      <t>Heeft uw bestelauto of kampeerauto een CO</t>
    </r>
    <r>
      <rPr>
        <sz val="10.8"/>
        <color theme="0"/>
        <rFont val="Calibri"/>
        <family val="2"/>
        <scheme val="minor"/>
      </rPr>
      <t>2</t>
    </r>
    <r>
      <rPr>
        <sz val="12"/>
        <color theme="0"/>
        <rFont val="Calibri"/>
        <family val="2"/>
        <scheme val="minor"/>
      </rPr>
      <t>-uitstoot van 0 gram/km, dan hoeft u geen bpm te betalen.</t>
    </r>
  </si>
  <si>
    <r>
      <rPr>
        <b/>
        <sz val="12"/>
        <color theme="0"/>
        <rFont val="Calibri"/>
        <family val="2"/>
        <scheme val="minor"/>
      </rPr>
      <t>LET OP:</t>
    </r>
    <r>
      <rPr>
        <sz val="12"/>
        <color theme="0"/>
        <rFont val="Calibri"/>
        <family val="2"/>
        <scheme val="minor"/>
      </rPr>
      <t xml:space="preserve"> Voorwaarde is dat er venootschapsbelasting wordt betaald om in aanmerking te komen voor een MIA subsidie.</t>
    </r>
  </si>
  <si>
    <t>MRB [€/maand]</t>
  </si>
  <si>
    <t>CO2 g/km (1)</t>
  </si>
  <si>
    <t>Br. l/100 km (1)</t>
  </si>
  <si>
    <t xml:space="preserve">Leeg gewicht (kg) (5) </t>
  </si>
  <si>
    <t>Prijs excl. BTW/BPM (€), catalogusprijs netto (4)</t>
  </si>
  <si>
    <t>BPM (€) (4)</t>
  </si>
  <si>
    <t>Zuinighuidscategorie (1)</t>
  </si>
  <si>
    <t xml:space="preserve"> a</t>
  </si>
  <si>
    <t>Actieradius [km]* (1)</t>
  </si>
  <si>
    <t>Accucapaciteit [kWh](1)</t>
  </si>
  <si>
    <t>kWh/100 km* (1)</t>
  </si>
  <si>
    <t>Catalogusprijs (bruto) (2)</t>
  </si>
  <si>
    <t>Actieradius [km] (1)</t>
  </si>
  <si>
    <t>kWh/100 km (1)</t>
  </si>
  <si>
    <r>
      <t xml:space="preserve">Volkswagen e-crafter </t>
    </r>
    <r>
      <rPr>
        <b/>
        <sz val="12"/>
        <color theme="0"/>
        <rFont val="Calibri (Hoofdtekst)_x0000_"/>
      </rPr>
      <t>(4)</t>
    </r>
  </si>
  <si>
    <r>
      <t xml:space="preserve">Renault Master Z.E. L3H2 </t>
    </r>
    <r>
      <rPr>
        <b/>
        <sz val="12"/>
        <color theme="0"/>
        <rFont val="Calibri (Hoofdtekst)_x0000_"/>
      </rPr>
      <t>(5)</t>
    </r>
  </si>
  <si>
    <r>
      <t>Volkswagen eVito</t>
    </r>
    <r>
      <rPr>
        <b/>
        <sz val="12"/>
        <color theme="0"/>
        <rFont val="Calibri (Hoofdtekst)_x0000_"/>
      </rPr>
      <t xml:space="preserve"> (6)</t>
    </r>
  </si>
  <si>
    <r>
      <rPr>
        <b/>
        <sz val="12"/>
        <color theme="0"/>
        <rFont val="Calibri"/>
        <family val="2"/>
        <scheme val="minor"/>
      </rPr>
      <t>Bron:</t>
    </r>
    <r>
      <rPr>
        <sz val="12"/>
        <color theme="0"/>
        <rFont val="Calibri"/>
        <family val="2"/>
        <scheme val="minor"/>
      </rPr>
      <t xml:space="preserve"> Evd database.nl</t>
    </r>
  </si>
  <si>
    <r>
      <t>Opel</t>
    </r>
    <r>
      <rPr>
        <sz val="14"/>
        <color theme="0"/>
        <rFont val="Arial"/>
        <family val="2"/>
      </rPr>
      <t>/Vauxhall</t>
    </r>
  </si>
  <si>
    <t>Opel/Vauxhall</t>
  </si>
  <si>
    <t>A6 / A6 allroad / S6 / RS6</t>
  </si>
  <si>
    <t>S90 / V90</t>
  </si>
  <si>
    <t>A8 / S8</t>
  </si>
  <si>
    <t>http://www.pianoo.nl/</t>
  </si>
  <si>
    <t xml:space="preserve">    November 2018. De meest actuele versie van de TCO-tool voor dienstvoertuigen vindt u op</t>
  </si>
  <si>
    <t>info@pianoo.nl</t>
  </si>
  <si>
    <t>Voor aanbestedingsrechtelijke vragen kunt u mailen naar</t>
  </si>
  <si>
    <t xml:space="preserve">Voor vragen over deze TCO-tool kunt u contact opnemen met  PIANOo op </t>
  </si>
  <si>
    <t>of raadpleegt u de website van PIANOo</t>
  </si>
  <si>
    <t xml:space="preserve">Vervoer is sterk vervuilend: circa 20% van de CO2 uitstoot in Nederland wordt veroorzaakt door transport. Wegverkeer van personenvoertuigen maakt hier een significant deel vanuit. Daarnaast veroorzaakt vervoer schade voor de gezondheid door de uitstoot van fijnstof en NOx. De oplossing hiervan voor personenvoertuigen is al breed beschikbaar: namelijk elektrische voertuigen. Op dit moment zijn batterij-elektrische voertuigen de meest beschikbare en geschikte oplossing. De positieve impact van overgang naar elektrische voertuigen blijkt mede uit de brandstofranking door Natuur &amp; Milieu (1) . Andere belangrijke voordelen van elektrisch vervoer zijn: energie efficiëntie, lage onderhouds- en brandstofkosten en versnellende rol in energietransitie. Ten slotte is het de voorbeeld- en aanjaagfunctie van publieke organisaties die maakt dat overstappen op elektrisch zo snel mogelijk moet gebeuren.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</si>
</sst>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_(* \(#,##0.00\);_(* &quot;-&quot;??_);_(@_)"/>
    <numFmt numFmtId="165" formatCode="_(&quot;€&quot;* #,##0.00_);_(&quot;€&quot;* \(#,##0.00\);_(&quot;€&quot;* &quot;-&quot;??_);_(@_)"/>
    <numFmt numFmtId="166" formatCode="00.00.00.000"/>
    <numFmt numFmtId="167" formatCode="&quot;€&quot;\ #,##0.00"/>
    <numFmt numFmtId="168" formatCode="&quot;€&quot;\ #,##0"/>
    <numFmt numFmtId="169" formatCode="#,##0.000"/>
    <numFmt numFmtId="170" formatCode="0.0"/>
    <numFmt numFmtId="171" formatCode="_(* #,##0_);_(* \(#,##0\);_(* &quot;-&quot;??_);_(@_)"/>
    <numFmt numFmtId="172" formatCode="_([$€-2]\ * #,##0_);_([$€-2]\ * \(#,##0\);_([$€-2]\ * &quot;-&quot;??_);_(@_)"/>
    <numFmt numFmtId="173" formatCode="_(&quot;€&quot;\ * #,##0_);_(&quot;€&quot;\ * \(#,##0\);_(&quot;€&quot;\ * &quot;-&quot;??_);_(@_)"/>
    <numFmt numFmtId="174" formatCode="0.0%"/>
    <numFmt numFmtId="175" formatCode="0.000"/>
    <numFmt numFmtId="176" formatCode="_(&quot;€&quot;\ * #,##0.000_);_(&quot;€&quot;\ * \(#,##0.000\);_(&quot;€&quot;\ * &quot;-&quot;??_);_(@_)"/>
    <numFmt numFmtId="177" formatCode="_(&quot;€&quot;\ * #,##0.0_);_(&quot;€&quot;\ * \(#,##0.0\);_(&quot;€&quot;\ * &quot;-&quot;??_);_(@_)"/>
    <numFmt numFmtId="178" formatCode="_-&quot;€&quot;* #,##0_-;\-&quot;€&quot;* #,##0_-;_-&quot;€&quot;* &quot;-&quot;??_-;_-@_-"/>
    <numFmt numFmtId="179" formatCode="_(* #,##0.0_);_(* \(#,##0.0\);_(* &quot;-&quot;??_);_(@_)"/>
    <numFmt numFmtId="180" formatCode="#,##0.0"/>
  </numFmts>
  <fonts count="77">
    <font>
      <sz val="12"/>
      <color theme="1"/>
      <name val="Calibri"/>
      <family val="2"/>
      <scheme val="minor"/>
    </font>
    <font>
      <b/>
      <sz val="12"/>
      <color theme="1"/>
      <name val="Calibri"/>
      <family val="2"/>
      <scheme val="minor"/>
    </font>
    <font>
      <sz val="12"/>
      <color rgb="FF000000"/>
      <name val="Calibri"/>
      <family val="2"/>
      <scheme val="minor"/>
    </font>
    <font>
      <sz val="12"/>
      <color theme="1"/>
      <name val="Calibri"/>
      <family val="2"/>
      <scheme val="minor"/>
    </font>
    <font>
      <u/>
      <sz val="12"/>
      <color theme="10"/>
      <name val="Calibri"/>
      <family val="2"/>
      <scheme val="minor"/>
    </font>
    <font>
      <sz val="10"/>
      <color rgb="FF000000"/>
      <name val="Tahoma"/>
      <family val="2"/>
    </font>
    <font>
      <b/>
      <sz val="12"/>
      <color theme="0"/>
      <name val="Calibri"/>
      <family val="2"/>
      <scheme val="minor"/>
    </font>
    <font>
      <sz val="12"/>
      <color theme="0"/>
      <name val="Calibri"/>
      <family val="2"/>
      <scheme val="minor"/>
    </font>
    <font>
      <b/>
      <sz val="10"/>
      <color rgb="FF000000"/>
      <name val="Tahoma"/>
      <family val="2"/>
    </font>
    <font>
      <sz val="11"/>
      <color indexed="8"/>
      <name val="Calibri"/>
      <family val="2"/>
      <scheme val="minor"/>
    </font>
    <font>
      <sz val="11"/>
      <color theme="0"/>
      <name val="Calibri"/>
      <family val="2"/>
      <scheme val="minor"/>
    </font>
    <font>
      <sz val="14"/>
      <color theme="1"/>
      <name val="Calibri"/>
      <family val="2"/>
      <scheme val="minor"/>
    </font>
    <font>
      <sz val="12"/>
      <color theme="1"/>
      <name val="Corbel"/>
    </font>
    <font>
      <b/>
      <sz val="16"/>
      <color theme="0"/>
      <name val="Corbel"/>
    </font>
    <font>
      <sz val="16"/>
      <color theme="0"/>
      <name val="Corbel"/>
    </font>
    <font>
      <b/>
      <sz val="14"/>
      <color theme="0"/>
      <name val="Corbel"/>
    </font>
    <font>
      <sz val="12"/>
      <color theme="0"/>
      <name val="Corbel"/>
    </font>
    <font>
      <sz val="14"/>
      <color theme="1"/>
      <name val="Corbel"/>
    </font>
    <font>
      <b/>
      <sz val="12"/>
      <color theme="1"/>
      <name val="Corbel"/>
    </font>
    <font>
      <b/>
      <sz val="14"/>
      <color theme="1"/>
      <name val="Corbel"/>
    </font>
    <font>
      <sz val="12"/>
      <color rgb="FFFF0000"/>
      <name val="Corbel"/>
    </font>
    <font>
      <b/>
      <sz val="13"/>
      <color theme="1"/>
      <name val="Corbel"/>
    </font>
    <font>
      <b/>
      <sz val="14"/>
      <name val="Corbel"/>
    </font>
    <font>
      <b/>
      <sz val="14"/>
      <color rgb="FF00B050"/>
      <name val="Corbel"/>
    </font>
    <font>
      <sz val="14"/>
      <name val="Corbel"/>
    </font>
    <font>
      <b/>
      <sz val="13"/>
      <color rgb="FF00B050"/>
      <name val="Corbel"/>
    </font>
    <font>
      <b/>
      <sz val="12"/>
      <color rgb="FFFF0000"/>
      <name val="Corbel"/>
    </font>
    <font>
      <b/>
      <sz val="12"/>
      <color rgb="FF000000"/>
      <name val="Corbel"/>
    </font>
    <font>
      <sz val="12"/>
      <color rgb="FF000000"/>
      <name val="Corbel"/>
    </font>
    <font>
      <sz val="16"/>
      <color theme="1"/>
      <name val="Corbel"/>
    </font>
    <font>
      <b/>
      <sz val="16"/>
      <color theme="1"/>
      <name val="Corbel"/>
    </font>
    <font>
      <i/>
      <sz val="16"/>
      <color theme="1"/>
      <name val="Corbel"/>
    </font>
    <font>
      <b/>
      <sz val="20"/>
      <color theme="0"/>
      <name val="Corbel"/>
    </font>
    <font>
      <sz val="20"/>
      <color theme="0"/>
      <name val="Corbel"/>
    </font>
    <font>
      <b/>
      <sz val="20"/>
      <color theme="1"/>
      <name val="Corbel"/>
    </font>
    <font>
      <sz val="20"/>
      <color theme="1"/>
      <name val="Corbel"/>
    </font>
    <font>
      <sz val="16"/>
      <color theme="1"/>
      <name val="Calibri"/>
      <family val="2"/>
      <scheme val="minor"/>
    </font>
    <font>
      <b/>
      <sz val="28"/>
      <color theme="1"/>
      <name val="Corbel"/>
    </font>
    <font>
      <u/>
      <sz val="16"/>
      <color theme="10"/>
      <name val="Calibri"/>
      <family val="2"/>
      <scheme val="minor"/>
    </font>
    <font>
      <sz val="14"/>
      <color theme="0"/>
      <name val="Corbel"/>
    </font>
    <font>
      <b/>
      <sz val="26"/>
      <color theme="0"/>
      <name val="Corbel"/>
    </font>
    <font>
      <b/>
      <sz val="13"/>
      <color theme="0"/>
      <name val="Corbel"/>
    </font>
    <font>
      <b/>
      <sz val="14"/>
      <color theme="6" tint="0.79998168889431442"/>
      <name val="Corbel"/>
    </font>
    <font>
      <b/>
      <sz val="13"/>
      <color theme="6" tint="0.79998168889431442"/>
      <name val="Corbel"/>
    </font>
    <font>
      <b/>
      <sz val="12"/>
      <color theme="6" tint="0.79998168889431442"/>
      <name val="Corbel"/>
    </font>
    <font>
      <b/>
      <sz val="20"/>
      <color theme="6" tint="0.79998168889431442"/>
      <name val="Corbel"/>
    </font>
    <font>
      <sz val="14"/>
      <color rgb="FF000000"/>
      <name val="Corbel"/>
    </font>
    <font>
      <b/>
      <sz val="14"/>
      <color rgb="FF000000"/>
      <name val="Corbel"/>
    </font>
    <font>
      <u/>
      <sz val="14"/>
      <color theme="10"/>
      <name val="Calibri"/>
      <family val="2"/>
      <scheme val="minor"/>
    </font>
    <font>
      <i/>
      <sz val="14"/>
      <color theme="1"/>
      <name val="Corbel"/>
    </font>
    <font>
      <u/>
      <sz val="14"/>
      <color rgb="FF000000"/>
      <name val="Corbel"/>
    </font>
    <font>
      <b/>
      <sz val="14"/>
      <color rgb="FFFF0000"/>
      <name val="Corbel"/>
    </font>
    <font>
      <b/>
      <u/>
      <sz val="14"/>
      <color theme="1"/>
      <name val="Corbel"/>
    </font>
    <font>
      <u/>
      <sz val="12"/>
      <color theme="0"/>
      <name val="Calibri"/>
      <family val="2"/>
      <scheme val="minor"/>
    </font>
    <font>
      <sz val="12"/>
      <color theme="0"/>
      <name val="Calibri"/>
      <family val="2"/>
    </font>
    <font>
      <b/>
      <u/>
      <sz val="12"/>
      <color theme="0"/>
      <name val="Calibri"/>
      <family val="2"/>
      <scheme val="minor"/>
    </font>
    <font>
      <sz val="12"/>
      <color theme="0"/>
      <name val="Calibri (Hoofdtekst)_x0000_"/>
    </font>
    <font>
      <u/>
      <sz val="12"/>
      <color theme="0"/>
      <name val="Calibri (Hoofdtekst)_x0000_"/>
    </font>
    <font>
      <sz val="10.8"/>
      <color theme="0"/>
      <name val="Calibri"/>
      <family val="2"/>
      <scheme val="minor"/>
    </font>
    <font>
      <sz val="9"/>
      <color theme="0"/>
      <name val="Tahoma"/>
      <family val="2"/>
    </font>
    <font>
      <b/>
      <sz val="11"/>
      <color theme="0"/>
      <name val="Calibri"/>
      <family val="2"/>
      <scheme val="minor"/>
    </font>
    <font>
      <b/>
      <sz val="12"/>
      <color theme="0"/>
      <name val="Verdana"/>
      <family val="2"/>
    </font>
    <font>
      <sz val="15"/>
      <color theme="0"/>
      <name val="Verdana"/>
      <family val="2"/>
    </font>
    <font>
      <sz val="19"/>
      <color theme="0"/>
      <name val="Arial"/>
      <family val="2"/>
    </font>
    <font>
      <b/>
      <sz val="10"/>
      <color theme="0"/>
      <name val="Helvetica"/>
      <family val="2"/>
    </font>
    <font>
      <b/>
      <sz val="12"/>
      <color theme="0"/>
      <name val="Arial"/>
      <family val="2"/>
    </font>
    <font>
      <sz val="12"/>
      <color theme="0"/>
      <name val="Verdana"/>
      <family val="2"/>
    </font>
    <font>
      <b/>
      <sz val="18"/>
      <color theme="0"/>
      <name val="Arial"/>
      <family val="2"/>
    </font>
    <font>
      <i/>
      <sz val="13.5"/>
      <color theme="0"/>
      <name val="Arial"/>
      <family val="2"/>
    </font>
    <font>
      <sz val="12.75"/>
      <color theme="0"/>
      <name val="Arial"/>
      <family val="2"/>
    </font>
    <font>
      <b/>
      <sz val="12"/>
      <color theme="0"/>
      <name val="Calibri (Hoofdtekst)_x0000_"/>
    </font>
    <font>
      <i/>
      <sz val="12"/>
      <color theme="0"/>
      <name val="Calibri"/>
      <family val="2"/>
      <scheme val="minor"/>
    </font>
    <font>
      <b/>
      <sz val="14"/>
      <color theme="0"/>
      <name val="Arial"/>
      <family val="2"/>
    </font>
    <font>
      <sz val="14"/>
      <color theme="0"/>
      <name val="Arial"/>
      <family val="2"/>
    </font>
    <font>
      <sz val="14"/>
      <color theme="0"/>
      <name val="Helvetica"/>
      <family val="2"/>
    </font>
    <font>
      <sz val="14"/>
      <color theme="0"/>
      <name val="Calibri"/>
      <family val="2"/>
      <scheme val="minor"/>
    </font>
    <font>
      <u/>
      <sz val="16"/>
      <color theme="10"/>
      <name val="Corbel"/>
    </font>
  </fonts>
  <fills count="14">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rgb="FFD9E1F2"/>
        <bgColor rgb="FF000000"/>
      </patternFill>
    </fill>
    <fill>
      <patternFill patternType="solid">
        <fgColor theme="5"/>
        <bgColor indexed="64"/>
      </patternFill>
    </fill>
    <fill>
      <patternFill patternType="solid">
        <fgColor theme="8"/>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FF7D00"/>
        <bgColor indexed="64"/>
      </patternFill>
    </fill>
    <fill>
      <patternFill patternType="solid">
        <fgColor rgb="FF4B575F"/>
        <bgColor indexed="64"/>
      </patternFill>
    </fill>
    <fill>
      <patternFill patternType="solid">
        <fgColor theme="3"/>
        <bgColor indexed="64"/>
      </patternFill>
    </fill>
  </fills>
  <borders count="2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bottom/>
      <diagonal/>
    </border>
  </borders>
  <cellStyleXfs count="6">
    <xf numFmtId="0" fontId="0" fillId="0" borderId="0"/>
    <xf numFmtId="165" fontId="3" fillId="0" borderId="0" applyFont="0" applyFill="0" applyBorder="0" applyAlignment="0" applyProtection="0"/>
    <xf numFmtId="0" fontId="4" fillId="0" borderId="0" applyNumberForma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9" fillId="0" borderId="0"/>
  </cellStyleXfs>
  <cellXfs count="561">
    <xf numFmtId="0" fontId="0" fillId="0" borderId="0" xfId="0"/>
    <xf numFmtId="0" fontId="1" fillId="0" borderId="0" xfId="0" applyFont="1"/>
    <xf numFmtId="0" fontId="2" fillId="0" borderId="0" xfId="0" applyFont="1"/>
    <xf numFmtId="0" fontId="0" fillId="0" borderId="0" xfId="0" applyAlignment="1">
      <alignment horizontal="right"/>
    </xf>
    <xf numFmtId="9" fontId="0" fillId="0" borderId="0" xfId="0" applyNumberFormat="1"/>
    <xf numFmtId="0" fontId="6" fillId="2" borderId="1" xfId="0" applyFont="1" applyFill="1" applyBorder="1"/>
    <xf numFmtId="0" fontId="7" fillId="2" borderId="4" xfId="0" applyFont="1" applyFill="1" applyBorder="1"/>
    <xf numFmtId="0" fontId="7" fillId="2" borderId="6" xfId="0" applyFont="1" applyFill="1" applyBorder="1"/>
    <xf numFmtId="0" fontId="6" fillId="2" borderId="2" xfId="0" applyFont="1" applyFill="1" applyBorder="1"/>
    <xf numFmtId="0" fontId="0" fillId="0" borderId="0" xfId="0" applyAlignment="1">
      <alignment vertical="center"/>
    </xf>
    <xf numFmtId="0" fontId="12" fillId="0" borderId="0" xfId="0" applyFont="1"/>
    <xf numFmtId="0" fontId="17" fillId="0" borderId="0" xfId="0" applyFont="1"/>
    <xf numFmtId="0" fontId="0" fillId="0" borderId="0" xfId="0" applyProtection="1">
      <protection locked="0"/>
    </xf>
    <xf numFmtId="0" fontId="18" fillId="0" borderId="0" xfId="0" applyFont="1"/>
    <xf numFmtId="0" fontId="12" fillId="0" borderId="0" xfId="0" applyFont="1" applyAlignment="1">
      <alignment vertical="center"/>
    </xf>
    <xf numFmtId="0" fontId="12" fillId="0" borderId="0" xfId="0" applyFont="1" applyAlignment="1">
      <alignment horizontal="center" vertical="center"/>
    </xf>
    <xf numFmtId="0" fontId="18" fillId="0" borderId="0" xfId="0" applyFont="1" applyAlignment="1">
      <alignment vertical="center"/>
    </xf>
    <xf numFmtId="0" fontId="20" fillId="0" borderId="0" xfId="0" applyFont="1" applyAlignment="1">
      <alignment vertical="center"/>
    </xf>
    <xf numFmtId="0" fontId="18" fillId="0" borderId="0" xfId="0" applyFont="1" applyAlignment="1">
      <alignment horizontal="center" vertical="center"/>
    </xf>
    <xf numFmtId="0" fontId="18" fillId="0" borderId="0" xfId="0" applyFont="1" applyAlignment="1">
      <alignment horizontal="center"/>
    </xf>
    <xf numFmtId="173" fontId="12" fillId="0" borderId="0" xfId="1" applyNumberFormat="1" applyFont="1"/>
    <xf numFmtId="173" fontId="12" fillId="0" borderId="0" xfId="0" applyNumberFormat="1" applyFont="1"/>
    <xf numFmtId="165" fontId="12" fillId="0" borderId="0" xfId="0" applyNumberFormat="1" applyFont="1"/>
    <xf numFmtId="173" fontId="19" fillId="0" borderId="0" xfId="1" applyNumberFormat="1" applyFont="1"/>
    <xf numFmtId="173" fontId="19" fillId="0" borderId="0" xfId="0" applyNumberFormat="1" applyFont="1"/>
    <xf numFmtId="173" fontId="19" fillId="0" borderId="5" xfId="0" applyNumberFormat="1" applyFont="1" applyBorder="1"/>
    <xf numFmtId="173" fontId="17" fillId="0" borderId="5" xfId="0" applyNumberFormat="1" applyFont="1" applyBorder="1"/>
    <xf numFmtId="173" fontId="12" fillId="0" borderId="5" xfId="0" applyNumberFormat="1" applyFont="1" applyBorder="1"/>
    <xf numFmtId="173" fontId="23" fillId="0" borderId="0" xfId="1" applyNumberFormat="1" applyFont="1"/>
    <xf numFmtId="178" fontId="19" fillId="0" borderId="5" xfId="1" applyNumberFormat="1" applyFont="1" applyBorder="1"/>
    <xf numFmtId="178" fontId="17" fillId="0" borderId="8" xfId="1" applyNumberFormat="1" applyFont="1" applyBorder="1"/>
    <xf numFmtId="177" fontId="21" fillId="0" borderId="0" xfId="1" applyNumberFormat="1" applyFont="1"/>
    <xf numFmtId="173" fontId="21" fillId="0" borderId="0" xfId="1" applyNumberFormat="1" applyFont="1"/>
    <xf numFmtId="173" fontId="25" fillId="0" borderId="0" xfId="1" applyNumberFormat="1" applyFont="1"/>
    <xf numFmtId="171" fontId="23" fillId="0" borderId="0" xfId="3" applyNumberFormat="1" applyFont="1"/>
    <xf numFmtId="3" fontId="19" fillId="0" borderId="8" xfId="3" applyNumberFormat="1" applyFont="1" applyBorder="1"/>
    <xf numFmtId="0" fontId="12" fillId="9" borderId="13" xfId="0" applyFont="1" applyFill="1" applyBorder="1" applyAlignment="1">
      <alignment vertical="center"/>
    </xf>
    <xf numFmtId="0" fontId="19" fillId="9" borderId="18" xfId="0" applyFont="1" applyFill="1" applyBorder="1" applyAlignment="1">
      <alignment horizontal="left" vertical="center"/>
    </xf>
    <xf numFmtId="0" fontId="12" fillId="0" borderId="1" xfId="0"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9" fillId="0" borderId="6" xfId="0" applyFont="1" applyBorder="1" applyAlignment="1">
      <alignment horizontal="center" vertical="center"/>
    </xf>
    <xf numFmtId="0" fontId="19" fillId="0" borderId="8" xfId="0" applyFont="1" applyBorder="1" applyAlignment="1">
      <alignment horizontal="center" vertical="center"/>
    </xf>
    <xf numFmtId="165" fontId="12" fillId="0" borderId="4" xfId="0" applyNumberFormat="1" applyFont="1" applyBorder="1" applyAlignment="1">
      <alignment horizontal="center" vertical="center"/>
    </xf>
    <xf numFmtId="0" fontId="18" fillId="0" borderId="6" xfId="0" applyFont="1" applyBorder="1" applyAlignment="1">
      <alignment horizontal="center" vertical="center"/>
    </xf>
    <xf numFmtId="0" fontId="18" fillId="0" borderId="8" xfId="0" applyFont="1" applyBorder="1" applyAlignment="1">
      <alignment horizontal="center" vertical="center"/>
    </xf>
    <xf numFmtId="0" fontId="18" fillId="0" borderId="4" xfId="0" applyFont="1" applyBorder="1" applyAlignment="1">
      <alignment horizontal="center"/>
    </xf>
    <xf numFmtId="0" fontId="18" fillId="0" borderId="5" xfId="0" applyFont="1" applyBorder="1" applyAlignment="1">
      <alignment horizontal="center"/>
    </xf>
    <xf numFmtId="0" fontId="12" fillId="0" borderId="5" xfId="0" applyFont="1" applyBorder="1"/>
    <xf numFmtId="173" fontId="12" fillId="0" borderId="5" xfId="1" applyNumberFormat="1" applyFont="1" applyBorder="1"/>
    <xf numFmtId="165" fontId="12" fillId="0" borderId="0" xfId="1" applyFont="1"/>
    <xf numFmtId="0" fontId="18" fillId="0" borderId="4" xfId="0" applyFont="1" applyBorder="1" applyAlignment="1">
      <alignment horizontal="center" vertical="center"/>
    </xf>
    <xf numFmtId="173" fontId="18" fillId="0" borderId="0" xfId="0" applyNumberFormat="1" applyFont="1"/>
    <xf numFmtId="173" fontId="18" fillId="0" borderId="5" xfId="0" applyNumberFormat="1" applyFont="1" applyBorder="1"/>
    <xf numFmtId="173" fontId="12" fillId="0" borderId="7" xfId="1" applyNumberFormat="1" applyFont="1" applyBorder="1"/>
    <xf numFmtId="173" fontId="12" fillId="0" borderId="8" xfId="1" applyNumberFormat="1" applyFont="1" applyBorder="1"/>
    <xf numFmtId="0" fontId="12" fillId="0" borderId="6" xfId="0" applyFont="1" applyBorder="1"/>
    <xf numFmtId="173" fontId="19" fillId="0" borderId="4" xfId="0" applyNumberFormat="1" applyFont="1" applyBorder="1"/>
    <xf numFmtId="173" fontId="17" fillId="0" borderId="4" xfId="0" applyNumberFormat="1" applyFont="1" applyBorder="1"/>
    <xf numFmtId="173" fontId="12" fillId="0" borderId="4" xfId="0" applyNumberFormat="1" applyFont="1" applyBorder="1"/>
    <xf numFmtId="173" fontId="19" fillId="0" borderId="4" xfId="1" applyNumberFormat="1" applyFont="1" applyBorder="1"/>
    <xf numFmtId="0" fontId="17" fillId="0" borderId="6" xfId="0" applyFont="1" applyBorder="1"/>
    <xf numFmtId="0" fontId="12" fillId="0" borderId="4" xfId="0" applyFont="1" applyBorder="1"/>
    <xf numFmtId="171" fontId="19" fillId="0" borderId="6" xfId="3" applyNumberFormat="1" applyFont="1" applyBorder="1"/>
    <xf numFmtId="171" fontId="19" fillId="0" borderId="0" xfId="3" applyNumberFormat="1" applyFont="1"/>
    <xf numFmtId="0" fontId="12" fillId="0" borderId="4" xfId="0" applyFont="1" applyBorder="1" applyAlignment="1">
      <alignment vertical="center"/>
    </xf>
    <xf numFmtId="0" fontId="12" fillId="0" borderId="5" xfId="0" applyFont="1" applyBorder="1" applyAlignment="1">
      <alignment vertical="center"/>
    </xf>
    <xf numFmtId="165" fontId="12" fillId="0" borderId="5" xfId="0" applyNumberFormat="1" applyFont="1" applyBorder="1"/>
    <xf numFmtId="0" fontId="12" fillId="0" borderId="8" xfId="0" applyFont="1" applyBorder="1"/>
    <xf numFmtId="0" fontId="12" fillId="0" borderId="3" xfId="0" applyFont="1" applyBorder="1"/>
    <xf numFmtId="0" fontId="12" fillId="0" borderId="1" xfId="0" applyFont="1" applyBorder="1"/>
    <xf numFmtId="173" fontId="12" fillId="0" borderId="6" xfId="0" applyNumberFormat="1" applyFont="1" applyBorder="1"/>
    <xf numFmtId="0" fontId="12" fillId="9" borderId="18" xfId="0" applyFont="1" applyFill="1" applyBorder="1" applyAlignment="1">
      <alignment vertical="center"/>
    </xf>
    <xf numFmtId="0" fontId="18" fillId="9" borderId="13" xfId="0" applyFont="1" applyFill="1" applyBorder="1" applyAlignment="1">
      <alignment vertical="center"/>
    </xf>
    <xf numFmtId="0" fontId="19" fillId="9" borderId="18" xfId="0" applyFont="1" applyFill="1" applyBorder="1" applyAlignment="1">
      <alignment vertical="center"/>
    </xf>
    <xf numFmtId="173" fontId="19" fillId="0" borderId="7" xfId="1" applyNumberFormat="1" applyFont="1" applyBorder="1"/>
    <xf numFmtId="173" fontId="19" fillId="0" borderId="8" xfId="1" applyNumberFormat="1" applyFont="1" applyBorder="1"/>
    <xf numFmtId="173" fontId="12" fillId="0" borderId="8" xfId="0" applyNumberFormat="1" applyFont="1" applyBorder="1"/>
    <xf numFmtId="173" fontId="19" fillId="0" borderId="1" xfId="0" applyNumberFormat="1" applyFont="1" applyBorder="1"/>
    <xf numFmtId="173" fontId="19" fillId="0" borderId="3" xfId="0" applyNumberFormat="1" applyFont="1" applyBorder="1"/>
    <xf numFmtId="177" fontId="19" fillId="0" borderId="4" xfId="1" applyNumberFormat="1" applyFont="1" applyBorder="1"/>
    <xf numFmtId="177" fontId="17" fillId="0" borderId="6" xfId="1" applyNumberFormat="1" applyFont="1" applyBorder="1"/>
    <xf numFmtId="0" fontId="12" fillId="0" borderId="8" xfId="0" applyFont="1" applyBorder="1" applyAlignment="1">
      <alignment vertical="center"/>
    </xf>
    <xf numFmtId="0" fontId="12" fillId="0" borderId="6" xfId="0" applyFont="1" applyBorder="1" applyAlignment="1">
      <alignment vertical="center"/>
    </xf>
    <xf numFmtId="0" fontId="26" fillId="0" borderId="0" xfId="0" applyFont="1"/>
    <xf numFmtId="0" fontId="27" fillId="0" borderId="0" xfId="0" applyFont="1"/>
    <xf numFmtId="9" fontId="12" fillId="0" borderId="0" xfId="0" applyNumberFormat="1" applyFont="1"/>
    <xf numFmtId="164" fontId="28" fillId="0" borderId="0" xfId="0" applyNumberFormat="1" applyFont="1"/>
    <xf numFmtId="0" fontId="28" fillId="0" borderId="0" xfId="0" applyFont="1" applyAlignment="1">
      <alignment wrapText="1"/>
    </xf>
    <xf numFmtId="0" fontId="12" fillId="0" borderId="0" xfId="0" applyFont="1" applyAlignment="1">
      <alignment wrapText="1"/>
    </xf>
    <xf numFmtId="0" fontId="26" fillId="0" borderId="0" xfId="0" applyFont="1" applyAlignment="1">
      <alignment vertical="center"/>
    </xf>
    <xf numFmtId="0" fontId="29" fillId="0" borderId="14"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16" xfId="0" applyFont="1" applyBorder="1" applyAlignment="1" applyProtection="1">
      <alignment horizontal="center" vertical="center"/>
      <protection locked="0"/>
    </xf>
    <xf numFmtId="0" fontId="29" fillId="0" borderId="17" xfId="0" applyFont="1" applyBorder="1" applyAlignment="1" applyProtection="1">
      <alignment horizontal="center" vertical="center"/>
      <protection locked="0"/>
    </xf>
    <xf numFmtId="0" fontId="29" fillId="0" borderId="0" xfId="0" applyFont="1"/>
    <xf numFmtId="0" fontId="30" fillId="8" borderId="4" xfId="0" applyFont="1" applyFill="1" applyBorder="1" applyAlignment="1">
      <alignment vertical="center"/>
    </xf>
    <xf numFmtId="0" fontId="29" fillId="8" borderId="5" xfId="0" applyFont="1" applyFill="1" applyBorder="1" applyAlignment="1">
      <alignment vertical="center"/>
    </xf>
    <xf numFmtId="0" fontId="30" fillId="8" borderId="6" xfId="0" applyFont="1" applyFill="1" applyBorder="1" applyAlignment="1">
      <alignment vertical="center"/>
    </xf>
    <xf numFmtId="0" fontId="29" fillId="8" borderId="8" xfId="0" applyFont="1" applyFill="1" applyBorder="1" applyAlignment="1">
      <alignment vertical="center"/>
    </xf>
    <xf numFmtId="0" fontId="29" fillId="10" borderId="0" xfId="0" applyFont="1" applyFill="1" applyAlignment="1" applyProtection="1">
      <alignment horizontal="center" vertical="center"/>
      <protection locked="0"/>
    </xf>
    <xf numFmtId="0" fontId="30" fillId="10" borderId="0" xfId="0" applyFont="1" applyFill="1" applyAlignment="1">
      <alignment vertical="center"/>
    </xf>
    <xf numFmtId="0" fontId="29" fillId="10" borderId="0" xfId="0" applyFont="1" applyFill="1" applyAlignment="1">
      <alignment vertical="center"/>
    </xf>
    <xf numFmtId="0" fontId="12" fillId="10" borderId="0" xfId="0" applyFont="1" applyFill="1" applyAlignment="1">
      <alignment vertical="center"/>
    </xf>
    <xf numFmtId="0" fontId="0" fillId="10" borderId="0" xfId="0" applyFill="1"/>
    <xf numFmtId="0" fontId="31" fillId="0" borderId="0" xfId="0" applyFont="1"/>
    <xf numFmtId="0" fontId="12" fillId="10" borderId="0" xfId="0" applyFont="1" applyFill="1"/>
    <xf numFmtId="0" fontId="20" fillId="0" borderId="0" xfId="0" applyFont="1"/>
    <xf numFmtId="0" fontId="17" fillId="0" borderId="15" xfId="0" applyFont="1" applyBorder="1" applyAlignment="1" applyProtection="1">
      <alignment horizontal="center" vertical="center"/>
      <protection locked="0"/>
    </xf>
    <xf numFmtId="0" fontId="29" fillId="10" borderId="0" xfId="0" applyFont="1" applyFill="1" applyBorder="1" applyAlignment="1" applyProtection="1">
      <alignment horizontal="center" vertical="center"/>
      <protection locked="0"/>
    </xf>
    <xf numFmtId="9" fontId="29" fillId="10" borderId="0" xfId="0" applyNumberFormat="1" applyFont="1" applyFill="1" applyBorder="1" applyAlignment="1" applyProtection="1">
      <alignment horizontal="center" vertical="center"/>
      <protection locked="0"/>
    </xf>
    <xf numFmtId="9" fontId="29" fillId="10" borderId="0" xfId="4" applyFont="1" applyFill="1" applyBorder="1" applyAlignment="1" applyProtection="1">
      <alignment horizontal="center" vertical="center"/>
      <protection locked="0"/>
    </xf>
    <xf numFmtId="9" fontId="29" fillId="10" borderId="0" xfId="4" applyFont="1" applyFill="1" applyBorder="1" applyAlignment="1" applyProtection="1">
      <alignment horizontal="center" vertical="center"/>
    </xf>
    <xf numFmtId="0" fontId="12" fillId="0" borderId="0" xfId="0" applyFont="1" applyBorder="1"/>
    <xf numFmtId="173" fontId="12" fillId="0" borderId="4" xfId="1" applyNumberFormat="1" applyFont="1" applyBorder="1"/>
    <xf numFmtId="173" fontId="19" fillId="0" borderId="6" xfId="1" applyNumberFormat="1" applyFont="1" applyBorder="1"/>
    <xf numFmtId="0" fontId="29" fillId="10" borderId="0" xfId="0" applyFont="1" applyFill="1" applyBorder="1" applyAlignment="1" applyProtection="1">
      <alignment horizontal="center" vertical="center"/>
    </xf>
    <xf numFmtId="173" fontId="18" fillId="0" borderId="4" xfId="0" applyNumberFormat="1" applyFont="1" applyBorder="1"/>
    <xf numFmtId="171" fontId="19" fillId="0" borderId="1" xfId="3" applyNumberFormat="1" applyFont="1" applyBorder="1"/>
    <xf numFmtId="171" fontId="19" fillId="0" borderId="3" xfId="3" applyNumberFormat="1" applyFont="1" applyBorder="1"/>
    <xf numFmtId="179" fontId="19" fillId="0" borderId="1" xfId="3" applyNumberFormat="1" applyFont="1" applyBorder="1"/>
    <xf numFmtId="179" fontId="19" fillId="0" borderId="3" xfId="3" applyNumberFormat="1" applyFont="1" applyBorder="1"/>
    <xf numFmtId="180" fontId="19" fillId="0" borderId="8" xfId="3" applyNumberFormat="1" applyFont="1" applyBorder="1"/>
    <xf numFmtId="173" fontId="12" fillId="0" borderId="0" xfId="1" applyNumberFormat="1" applyFont="1" applyBorder="1"/>
    <xf numFmtId="173" fontId="12" fillId="0" borderId="0" xfId="0" applyNumberFormat="1" applyFont="1" applyBorder="1"/>
    <xf numFmtId="165" fontId="12" fillId="0" borderId="0" xfId="1" applyFont="1" applyBorder="1"/>
    <xf numFmtId="9" fontId="29" fillId="10" borderId="7" xfId="4" applyFont="1" applyFill="1" applyBorder="1" applyAlignment="1" applyProtection="1">
      <alignment horizontal="center" vertical="center"/>
      <protection locked="0"/>
    </xf>
    <xf numFmtId="0" fontId="17" fillId="0" borderId="0" xfId="0" applyFont="1" applyAlignment="1">
      <alignment horizontal="left"/>
    </xf>
    <xf numFmtId="0" fontId="30" fillId="12" borderId="9" xfId="0" applyFont="1" applyFill="1" applyBorder="1" applyAlignment="1">
      <alignment horizontal="center" vertical="center"/>
    </xf>
    <xf numFmtId="0" fontId="29" fillId="12" borderId="11" xfId="0" applyFont="1" applyFill="1" applyBorder="1"/>
    <xf numFmtId="0" fontId="29" fillId="12" borderId="9" xfId="0" applyFont="1" applyFill="1" applyBorder="1" applyAlignment="1">
      <alignment horizontal="center" vertical="center"/>
    </xf>
    <xf numFmtId="0" fontId="29" fillId="12" borderId="10" xfId="0" applyFont="1" applyFill="1" applyBorder="1" applyAlignment="1">
      <alignment horizontal="center" vertical="center"/>
    </xf>
    <xf numFmtId="0" fontId="29" fillId="12" borderId="11" xfId="0" applyFont="1" applyFill="1" applyBorder="1" applyAlignment="1">
      <alignment horizontal="center" vertical="center"/>
    </xf>
    <xf numFmtId="0" fontId="34" fillId="11" borderId="12" xfId="0" applyFont="1" applyFill="1" applyBorder="1" applyAlignment="1">
      <alignment horizontal="center" vertical="center"/>
    </xf>
    <xf numFmtId="0" fontId="30" fillId="11" borderId="12" xfId="0" applyFont="1" applyFill="1" applyBorder="1" applyAlignment="1">
      <alignment horizontal="center" vertical="center"/>
    </xf>
    <xf numFmtId="0" fontId="30" fillId="11" borderId="12" xfId="0" applyFont="1" applyFill="1" applyBorder="1" applyAlignment="1">
      <alignment horizontal="left" vertical="center"/>
    </xf>
    <xf numFmtId="0" fontId="17" fillId="11" borderId="12" xfId="0" applyFont="1" applyFill="1" applyBorder="1" applyAlignment="1">
      <alignment horizontal="center" vertical="center"/>
    </xf>
    <xf numFmtId="0" fontId="33" fillId="11" borderId="12" xfId="0" applyFont="1" applyFill="1" applyBorder="1" applyAlignment="1">
      <alignment horizontal="center" vertical="center"/>
    </xf>
    <xf numFmtId="0" fontId="34" fillId="11" borderId="16" xfId="0" applyFont="1" applyFill="1" applyBorder="1" applyAlignment="1" applyProtection="1">
      <alignment horizontal="center" vertical="center"/>
    </xf>
    <xf numFmtId="0" fontId="34" fillId="11" borderId="13" xfId="0" applyFont="1" applyFill="1" applyBorder="1" applyAlignment="1" applyProtection="1">
      <alignment horizontal="center" vertical="center"/>
    </xf>
    <xf numFmtId="0" fontId="34" fillId="11" borderId="11" xfId="0" applyFont="1" applyFill="1" applyBorder="1" applyAlignment="1" applyProtection="1">
      <alignment horizontal="center" vertical="center"/>
    </xf>
    <xf numFmtId="0" fontId="34" fillId="11" borderId="9" xfId="0" applyFont="1" applyFill="1" applyBorder="1" applyAlignment="1">
      <alignment horizontal="left" vertical="center"/>
    </xf>
    <xf numFmtId="0" fontId="35" fillId="12" borderId="12" xfId="0" applyFont="1" applyFill="1" applyBorder="1" applyAlignment="1" applyProtection="1">
      <alignment horizontal="center" vertical="center"/>
    </xf>
    <xf numFmtId="0" fontId="29" fillId="12" borderId="9" xfId="0" applyFont="1" applyFill="1" applyBorder="1"/>
    <xf numFmtId="0" fontId="13" fillId="12" borderId="12" xfId="0" applyFont="1" applyFill="1" applyBorder="1" applyAlignment="1">
      <alignment horizontal="center" vertical="center"/>
    </xf>
    <xf numFmtId="0" fontId="14" fillId="12" borderId="13" xfId="0" applyFont="1" applyFill="1" applyBorder="1" applyAlignment="1">
      <alignment horizontal="center" vertical="center"/>
    </xf>
    <xf numFmtId="0" fontId="39" fillId="12" borderId="13" xfId="0" applyFont="1" applyFill="1" applyBorder="1" applyAlignment="1">
      <alignment horizontal="left" vertical="center"/>
    </xf>
    <xf numFmtId="0" fontId="14" fillId="12" borderId="18" xfId="0" applyFont="1" applyFill="1" applyBorder="1" applyAlignment="1">
      <alignment horizontal="center" vertical="center"/>
    </xf>
    <xf numFmtId="0" fontId="39" fillId="12" borderId="18" xfId="0" applyFont="1" applyFill="1" applyBorder="1" applyAlignment="1">
      <alignment horizontal="left" vertical="center"/>
    </xf>
    <xf numFmtId="0" fontId="14" fillId="12" borderId="4" xfId="0" applyFont="1" applyFill="1" applyBorder="1" applyAlignment="1">
      <alignment horizontal="center" vertical="center"/>
    </xf>
    <xf numFmtId="0" fontId="14" fillId="12" borderId="6" xfId="0" applyFont="1" applyFill="1" applyBorder="1" applyAlignment="1">
      <alignment horizontal="center" vertical="center"/>
    </xf>
    <xf numFmtId="0" fontId="12" fillId="9" borderId="4" xfId="0" applyFont="1" applyFill="1" applyBorder="1"/>
    <xf numFmtId="0" fontId="12" fillId="9" borderId="5" xfId="0" applyFont="1" applyFill="1" applyBorder="1"/>
    <xf numFmtId="0" fontId="12" fillId="9" borderId="7" xfId="0" applyFont="1" applyFill="1" applyBorder="1"/>
    <xf numFmtId="0" fontId="12" fillId="9" borderId="8" xfId="0" applyFont="1" applyFill="1" applyBorder="1"/>
    <xf numFmtId="0" fontId="12" fillId="9" borderId="10" xfId="0" applyFont="1" applyFill="1" applyBorder="1"/>
    <xf numFmtId="0" fontId="12" fillId="9" borderId="11" xfId="0" applyFont="1" applyFill="1" applyBorder="1"/>
    <xf numFmtId="0" fontId="12" fillId="9" borderId="2" xfId="0" applyFont="1" applyFill="1" applyBorder="1"/>
    <xf numFmtId="0" fontId="12" fillId="9" borderId="3" xfId="0" applyFont="1" applyFill="1" applyBorder="1"/>
    <xf numFmtId="0" fontId="12" fillId="9" borderId="0" xfId="0" applyFont="1" applyFill="1"/>
    <xf numFmtId="0" fontId="26" fillId="9" borderId="5" xfId="0" applyFont="1" applyFill="1" applyBorder="1"/>
    <xf numFmtId="0" fontId="29" fillId="9" borderId="14" xfId="0" applyFont="1" applyFill="1" applyBorder="1" applyAlignment="1" applyProtection="1">
      <alignment horizontal="center" vertical="center"/>
    </xf>
    <xf numFmtId="0" fontId="29" fillId="9" borderId="15" xfId="0" applyFont="1" applyFill="1" applyBorder="1" applyAlignment="1" applyProtection="1">
      <alignment horizontal="center" vertical="center"/>
    </xf>
    <xf numFmtId="0" fontId="29" fillId="9" borderId="16" xfId="0" applyFont="1" applyFill="1" applyBorder="1" applyAlignment="1" applyProtection="1">
      <alignment horizontal="center" vertical="center"/>
    </xf>
    <xf numFmtId="0" fontId="29" fillId="9" borderId="17" xfId="0" applyFont="1" applyFill="1" applyBorder="1" applyAlignment="1" applyProtection="1">
      <alignment horizontal="center" vertical="center"/>
    </xf>
    <xf numFmtId="0" fontId="29" fillId="9" borderId="14" xfId="0" applyFont="1" applyFill="1" applyBorder="1" applyAlignment="1">
      <alignment vertical="center"/>
    </xf>
    <xf numFmtId="0" fontId="29" fillId="9" borderId="16" xfId="0" applyFont="1" applyFill="1" applyBorder="1" applyAlignment="1">
      <alignment horizontal="left" vertical="center"/>
    </xf>
    <xf numFmtId="0" fontId="29" fillId="9" borderId="5" xfId="0" applyFont="1" applyFill="1" applyBorder="1" applyAlignment="1">
      <alignment vertical="center"/>
    </xf>
    <xf numFmtId="0" fontId="29" fillId="9" borderId="19" xfId="0" applyFont="1" applyFill="1" applyBorder="1" applyAlignment="1">
      <alignment vertical="center"/>
    </xf>
    <xf numFmtId="0" fontId="29" fillId="9" borderId="20" xfId="0" applyFont="1" applyFill="1" applyBorder="1" applyAlignment="1">
      <alignment horizontal="left" vertical="center"/>
    </xf>
    <xf numFmtId="0" fontId="13" fillId="13" borderId="12" xfId="0" applyFont="1" applyFill="1" applyBorder="1" applyAlignment="1">
      <alignment vertical="center"/>
    </xf>
    <xf numFmtId="0" fontId="13" fillId="13" borderId="22" xfId="0" applyFont="1" applyFill="1" applyBorder="1" applyAlignment="1">
      <alignment vertical="center"/>
    </xf>
    <xf numFmtId="0" fontId="15" fillId="13" borderId="12" xfId="0" applyFont="1" applyFill="1" applyBorder="1" applyAlignment="1">
      <alignment horizontal="center" vertical="center"/>
    </xf>
    <xf numFmtId="0" fontId="13" fillId="13" borderId="3" xfId="0" applyFont="1" applyFill="1" applyBorder="1" applyAlignment="1">
      <alignment vertical="center"/>
    </xf>
    <xf numFmtId="0" fontId="19" fillId="11" borderId="13" xfId="0" applyFont="1" applyFill="1" applyBorder="1" applyAlignment="1">
      <alignment vertical="center"/>
    </xf>
    <xf numFmtId="0" fontId="19" fillId="11" borderId="2" xfId="0" applyFont="1" applyFill="1" applyBorder="1" applyAlignment="1">
      <alignment horizontal="center"/>
    </xf>
    <xf numFmtId="0" fontId="19" fillId="11" borderId="3" xfId="0" applyFont="1" applyFill="1" applyBorder="1" applyAlignment="1">
      <alignment horizontal="center"/>
    </xf>
    <xf numFmtId="0" fontId="12" fillId="11" borderId="4" xfId="0" applyFont="1" applyFill="1" applyBorder="1" applyAlignment="1">
      <alignment horizontal="center" vertical="center"/>
    </xf>
    <xf numFmtId="0" fontId="12" fillId="11" borderId="5" xfId="0" applyFont="1" applyFill="1" applyBorder="1" applyAlignment="1">
      <alignment horizontal="center" vertical="center"/>
    </xf>
    <xf numFmtId="0" fontId="19" fillId="11" borderId="22" xfId="0" applyFont="1" applyFill="1" applyBorder="1" applyAlignment="1">
      <alignment horizontal="left" vertical="center"/>
    </xf>
    <xf numFmtId="0" fontId="19" fillId="11" borderId="1" xfId="0" applyFont="1" applyFill="1" applyBorder="1" applyAlignment="1">
      <alignment horizontal="center"/>
    </xf>
    <xf numFmtId="0" fontId="19" fillId="11" borderId="22" xfId="0" applyFont="1" applyFill="1" applyBorder="1" applyAlignment="1">
      <alignment vertical="center"/>
    </xf>
    <xf numFmtId="0" fontId="15" fillId="12" borderId="1" xfId="0" applyFont="1" applyFill="1" applyBorder="1"/>
    <xf numFmtId="173" fontId="41" fillId="12" borderId="1" xfId="0" applyNumberFormat="1" applyFont="1" applyFill="1" applyBorder="1" applyAlignment="1">
      <alignment horizontal="center"/>
    </xf>
    <xf numFmtId="173" fontId="41" fillId="12" borderId="3" xfId="0" applyNumberFormat="1" applyFont="1" applyFill="1" applyBorder="1" applyAlignment="1">
      <alignment horizontal="center"/>
    </xf>
    <xf numFmtId="173" fontId="41" fillId="12" borderId="9" xfId="0" applyNumberFormat="1" applyFont="1" applyFill="1" applyBorder="1" applyAlignment="1">
      <alignment horizontal="center"/>
    </xf>
    <xf numFmtId="173" fontId="41" fillId="12" borderId="11" xfId="0" applyNumberFormat="1" applyFont="1" applyFill="1" applyBorder="1" applyAlignment="1">
      <alignment horizontal="center"/>
    </xf>
    <xf numFmtId="0" fontId="19" fillId="9" borderId="1" xfId="0" applyFont="1" applyFill="1" applyBorder="1"/>
    <xf numFmtId="0" fontId="17" fillId="9" borderId="4" xfId="0" applyFont="1" applyFill="1" applyBorder="1"/>
    <xf numFmtId="0" fontId="19" fillId="9" borderId="4" xfId="0" applyFont="1" applyFill="1" applyBorder="1"/>
    <xf numFmtId="0" fontId="17" fillId="9" borderId="6" xfId="0" applyFont="1" applyFill="1" applyBorder="1"/>
    <xf numFmtId="0" fontId="16" fillId="0" borderId="0" xfId="0" applyFont="1" applyFill="1"/>
    <xf numFmtId="0" fontId="12" fillId="0" borderId="0" xfId="0" applyFont="1" applyFill="1"/>
    <xf numFmtId="0" fontId="12" fillId="0" borderId="0" xfId="0" applyFont="1" applyFill="1" applyBorder="1"/>
    <xf numFmtId="0" fontId="16" fillId="0" borderId="0" xfId="0" applyFont="1" applyFill="1" applyAlignment="1">
      <alignment horizontal="center"/>
    </xf>
    <xf numFmtId="0" fontId="12" fillId="0" borderId="0" xfId="0" applyFont="1" applyFill="1" applyAlignment="1">
      <alignment horizontal="center" vertical="center"/>
    </xf>
    <xf numFmtId="173" fontId="12" fillId="0" borderId="0" xfId="1" applyNumberFormat="1" applyFont="1" applyFill="1"/>
    <xf numFmtId="178" fontId="22" fillId="11" borderId="5" xfId="1" applyNumberFormat="1" applyFont="1" applyFill="1" applyBorder="1"/>
    <xf numFmtId="178" fontId="24" fillId="11" borderId="8" xfId="1" applyNumberFormat="1" applyFont="1" applyFill="1" applyBorder="1"/>
    <xf numFmtId="0" fontId="42" fillId="12" borderId="1" xfId="0" applyFont="1" applyFill="1" applyBorder="1"/>
    <xf numFmtId="173" fontId="43" fillId="12" borderId="1" xfId="0" applyNumberFormat="1" applyFont="1" applyFill="1" applyBorder="1" applyAlignment="1">
      <alignment horizontal="center"/>
    </xf>
    <xf numFmtId="173" fontId="43" fillId="12" borderId="3" xfId="0" applyNumberFormat="1" applyFont="1" applyFill="1" applyBorder="1" applyAlignment="1">
      <alignment horizontal="center"/>
    </xf>
    <xf numFmtId="0" fontId="19" fillId="9" borderId="6" xfId="0" applyFont="1" applyFill="1" applyBorder="1"/>
    <xf numFmtId="173" fontId="44" fillId="0" borderId="0" xfId="0" applyNumberFormat="1" applyFont="1" applyFill="1"/>
    <xf numFmtId="173" fontId="41" fillId="0" borderId="0" xfId="0" applyNumberFormat="1" applyFont="1" applyFill="1"/>
    <xf numFmtId="49" fontId="36" fillId="0" borderId="6" xfId="0" applyNumberFormat="1" applyFont="1" applyBorder="1" applyAlignment="1">
      <alignment horizontal="right" vertical="center"/>
    </xf>
    <xf numFmtId="0" fontId="0" fillId="0" borderId="0" xfId="0" applyBorder="1"/>
    <xf numFmtId="0" fontId="46" fillId="0" borderId="0" xfId="0" applyFont="1"/>
    <xf numFmtId="0" fontId="47" fillId="0" borderId="0" xfId="0" applyFont="1"/>
    <xf numFmtId="0" fontId="19" fillId="0" borderId="0" xfId="0" applyFont="1"/>
    <xf numFmtId="0" fontId="48" fillId="0" borderId="0" xfId="2" applyFont="1"/>
    <xf numFmtId="0" fontId="19" fillId="9" borderId="12" xfId="0" applyFont="1" applyFill="1" applyBorder="1"/>
    <xf numFmtId="0" fontId="19" fillId="9" borderId="10" xfId="0" applyFont="1" applyFill="1" applyBorder="1" applyAlignment="1">
      <alignment horizontal="center"/>
    </xf>
    <xf numFmtId="0" fontId="17" fillId="9" borderId="11" xfId="0" applyFont="1" applyFill="1" applyBorder="1"/>
    <xf numFmtId="0" fontId="17" fillId="9" borderId="13" xfId="0" applyFont="1" applyFill="1" applyBorder="1"/>
    <xf numFmtId="169" fontId="17" fillId="9" borderId="0" xfId="0" applyNumberFormat="1" applyFont="1" applyFill="1" applyAlignment="1">
      <alignment horizontal="center"/>
    </xf>
    <xf numFmtId="0" fontId="17" fillId="9" borderId="5" xfId="0" applyFont="1" applyFill="1" applyBorder="1"/>
    <xf numFmtId="175" fontId="17" fillId="9" borderId="0" xfId="0" applyNumberFormat="1" applyFont="1" applyFill="1" applyAlignment="1">
      <alignment horizontal="center"/>
    </xf>
    <xf numFmtId="0" fontId="17" fillId="9" borderId="0" xfId="0" applyFont="1" applyFill="1" applyAlignment="1">
      <alignment horizontal="center"/>
    </xf>
    <xf numFmtId="0" fontId="17" fillId="9" borderId="18" xfId="0" applyFont="1" applyFill="1" applyBorder="1"/>
    <xf numFmtId="175" fontId="17" fillId="9" borderId="7" xfId="0" applyNumberFormat="1" applyFont="1" applyFill="1" applyBorder="1" applyAlignment="1">
      <alignment horizontal="center"/>
    </xf>
    <xf numFmtId="0" fontId="17" fillId="9" borderId="8" xfId="0" applyFont="1" applyFill="1" applyBorder="1"/>
    <xf numFmtId="9" fontId="17" fillId="9" borderId="7" xfId="4" applyFont="1" applyFill="1" applyBorder="1"/>
    <xf numFmtId="0" fontId="17" fillId="9" borderId="0" xfId="0" applyFont="1" applyFill="1" applyBorder="1"/>
    <xf numFmtId="1" fontId="17" fillId="9" borderId="0" xfId="0" applyNumberFormat="1" applyFont="1" applyFill="1" applyBorder="1"/>
    <xf numFmtId="2" fontId="17" fillId="9" borderId="0" xfId="0" applyNumberFormat="1" applyFont="1" applyFill="1" applyBorder="1"/>
    <xf numFmtId="0" fontId="17" fillId="9" borderId="7" xfId="0" applyFont="1" applyFill="1" applyBorder="1"/>
    <xf numFmtId="1" fontId="17" fillId="9" borderId="7" xfId="0" applyNumberFormat="1" applyFont="1" applyFill="1" applyBorder="1"/>
    <xf numFmtId="0" fontId="17" fillId="9" borderId="9" xfId="0" applyFont="1" applyFill="1" applyBorder="1"/>
    <xf numFmtId="0" fontId="17" fillId="9" borderId="10" xfId="0" applyFont="1" applyFill="1" applyBorder="1"/>
    <xf numFmtId="0" fontId="0" fillId="0" borderId="0" xfId="0" applyBorder="1" applyAlignment="1">
      <alignment wrapText="1"/>
    </xf>
    <xf numFmtId="0" fontId="19" fillId="0" borderId="0" xfId="0" applyFont="1" applyFill="1" applyBorder="1" applyAlignment="1">
      <alignment wrapText="1"/>
    </xf>
    <xf numFmtId="0" fontId="17" fillId="0" borderId="0" xfId="0" applyFont="1" applyFill="1" applyBorder="1"/>
    <xf numFmtId="0" fontId="17" fillId="0" borderId="0" xfId="0" applyFont="1" applyAlignment="1"/>
    <xf numFmtId="0" fontId="17" fillId="9" borderId="22" xfId="0" applyFont="1" applyFill="1" applyBorder="1"/>
    <xf numFmtId="9" fontId="17" fillId="9" borderId="2" xfId="0" applyNumberFormat="1" applyFont="1" applyFill="1" applyBorder="1"/>
    <xf numFmtId="0" fontId="17" fillId="9" borderId="2" xfId="0" applyFont="1" applyFill="1" applyBorder="1"/>
    <xf numFmtId="9" fontId="17" fillId="9" borderId="0" xfId="0" applyNumberFormat="1" applyFont="1" applyFill="1"/>
    <xf numFmtId="0" fontId="17" fillId="9" borderId="0" xfId="0" applyFont="1" applyFill="1"/>
    <xf numFmtId="0" fontId="19" fillId="9" borderId="13" xfId="0" applyFont="1" applyFill="1" applyBorder="1"/>
    <xf numFmtId="164" fontId="17" fillId="9" borderId="0" xfId="3" applyFont="1" applyFill="1"/>
    <xf numFmtId="164" fontId="46" fillId="9" borderId="0" xfId="0" applyNumberFormat="1" applyFont="1" applyFill="1"/>
    <xf numFmtId="0" fontId="51" fillId="9" borderId="0" xfId="0" applyFont="1" applyFill="1"/>
    <xf numFmtId="2" fontId="46" fillId="9" borderId="7" xfId="0" applyNumberFormat="1" applyFont="1" applyFill="1" applyBorder="1"/>
    <xf numFmtId="9" fontId="17" fillId="0" borderId="0" xfId="0" applyNumberFormat="1" applyFont="1"/>
    <xf numFmtId="176" fontId="17" fillId="9" borderId="4" xfId="1" applyNumberFormat="1" applyFont="1" applyFill="1" applyBorder="1"/>
    <xf numFmtId="176" fontId="17" fillId="9" borderId="6" xfId="1" applyNumberFormat="1" applyFont="1" applyFill="1" applyBorder="1"/>
    <xf numFmtId="0" fontId="52" fillId="0" borderId="0" xfId="0" applyFont="1"/>
    <xf numFmtId="0" fontId="29" fillId="10" borderId="1" xfId="0" applyFont="1" applyFill="1" applyBorder="1" applyAlignment="1">
      <alignment horizontal="left" vertical="top"/>
    </xf>
    <xf numFmtId="0" fontId="7" fillId="0" borderId="0" xfId="0" applyFont="1"/>
    <xf numFmtId="0" fontId="6" fillId="2" borderId="4" xfId="0" applyFont="1" applyFill="1" applyBorder="1"/>
    <xf numFmtId="0" fontId="6" fillId="4" borderId="0" xfId="0" applyFont="1" applyFill="1"/>
    <xf numFmtId="0" fontId="7" fillId="3" borderId="0" xfId="0" applyFont="1" applyFill="1" applyAlignment="1">
      <alignment horizontal="center"/>
    </xf>
    <xf numFmtId="0" fontId="6" fillId="3" borderId="0" xfId="0" applyFont="1" applyFill="1" applyAlignment="1">
      <alignment horizontal="center"/>
    </xf>
    <xf numFmtId="0" fontId="6" fillId="3" borderId="0" xfId="0" applyFont="1" applyFill="1"/>
    <xf numFmtId="0" fontId="7" fillId="0" borderId="0" xfId="0" applyFont="1" applyAlignment="1">
      <alignment horizontal="center"/>
    </xf>
    <xf numFmtId="0" fontId="6" fillId="3" borderId="5" xfId="0" applyFont="1" applyFill="1" applyBorder="1" applyAlignment="1">
      <alignment horizontal="center"/>
    </xf>
    <xf numFmtId="0" fontId="7" fillId="3" borderId="5" xfId="0" applyFont="1" applyFill="1" applyBorder="1" applyAlignment="1">
      <alignment horizontal="center"/>
    </xf>
    <xf numFmtId="1" fontId="7" fillId="0" borderId="0" xfId="0" applyNumberFormat="1" applyFont="1" applyAlignment="1">
      <alignment horizontal="center"/>
    </xf>
    <xf numFmtId="170" fontId="7" fillId="0" borderId="0" xfId="0" applyNumberFormat="1" applyFont="1" applyAlignment="1">
      <alignment horizontal="center"/>
    </xf>
    <xf numFmtId="173" fontId="7" fillId="0" borderId="0" xfId="1" applyNumberFormat="1" applyFont="1" applyAlignment="1">
      <alignment horizontal="center"/>
    </xf>
    <xf numFmtId="173" fontId="7" fillId="0" borderId="0" xfId="0" applyNumberFormat="1" applyFont="1" applyAlignment="1">
      <alignment horizontal="center"/>
    </xf>
    <xf numFmtId="3" fontId="7" fillId="0" borderId="0" xfId="0" applyNumberFormat="1" applyFont="1"/>
    <xf numFmtId="176" fontId="7" fillId="0" borderId="0" xfId="0" applyNumberFormat="1" applyFont="1" applyAlignment="1">
      <alignment horizontal="center"/>
    </xf>
    <xf numFmtId="0" fontId="7" fillId="0" borderId="5" xfId="0" applyFont="1" applyBorder="1" applyAlignment="1">
      <alignment horizontal="center"/>
    </xf>
    <xf numFmtId="2" fontId="7" fillId="0" borderId="0" xfId="0" applyNumberFormat="1" applyFont="1" applyAlignment="1">
      <alignment horizontal="center"/>
    </xf>
    <xf numFmtId="173" fontId="7" fillId="0" borderId="0" xfId="1" applyNumberFormat="1" applyFont="1"/>
    <xf numFmtId="176" fontId="7" fillId="0" borderId="0" xfId="1" applyNumberFormat="1" applyFont="1" applyAlignment="1">
      <alignment horizontal="center"/>
    </xf>
    <xf numFmtId="9" fontId="7" fillId="0" borderId="0" xfId="4" applyFont="1" applyAlignment="1">
      <alignment horizontal="center"/>
    </xf>
    <xf numFmtId="173" fontId="7" fillId="0" borderId="5" xfId="1" applyNumberFormat="1" applyFont="1" applyBorder="1" applyAlignment="1">
      <alignment horizontal="center"/>
    </xf>
    <xf numFmtId="0" fontId="7" fillId="0" borderId="7" xfId="0" applyFont="1" applyBorder="1" applyAlignment="1">
      <alignment horizontal="center"/>
    </xf>
    <xf numFmtId="1" fontId="7" fillId="0" borderId="7" xfId="0" applyNumberFormat="1" applyFont="1" applyBorder="1" applyAlignment="1">
      <alignment horizontal="center"/>
    </xf>
    <xf numFmtId="170" fontId="7" fillId="0" borderId="7" xfId="0" applyNumberFormat="1" applyFont="1" applyBorder="1" applyAlignment="1">
      <alignment horizontal="center"/>
    </xf>
    <xf numFmtId="2" fontId="7" fillId="0" borderId="7" xfId="0" applyNumberFormat="1" applyFont="1" applyBorder="1" applyAlignment="1">
      <alignment horizontal="center"/>
    </xf>
    <xf numFmtId="173" fontId="7" fillId="0" borderId="7" xfId="1" applyNumberFormat="1" applyFont="1" applyBorder="1" applyAlignment="1">
      <alignment horizontal="center"/>
    </xf>
    <xf numFmtId="173" fontId="7" fillId="0" borderId="7" xfId="0" applyNumberFormat="1" applyFont="1" applyBorder="1" applyAlignment="1">
      <alignment horizontal="center"/>
    </xf>
    <xf numFmtId="173" fontId="7" fillId="0" borderId="7" xfId="1" applyNumberFormat="1" applyFont="1" applyBorder="1"/>
    <xf numFmtId="176" fontId="7" fillId="0" borderId="7" xfId="0" applyNumberFormat="1" applyFont="1" applyBorder="1" applyAlignment="1">
      <alignment horizontal="center"/>
    </xf>
    <xf numFmtId="9" fontId="7" fillId="0" borderId="7" xfId="4" applyFont="1" applyBorder="1" applyAlignment="1">
      <alignment horizontal="center"/>
    </xf>
    <xf numFmtId="173" fontId="7" fillId="0" borderId="8" xfId="1" applyNumberFormat="1" applyFont="1" applyBorder="1" applyAlignment="1">
      <alignment horizontal="center"/>
    </xf>
    <xf numFmtId="0" fontId="7" fillId="0" borderId="0" xfId="0" applyFont="1" applyAlignment="1">
      <alignment vertical="center"/>
    </xf>
    <xf numFmtId="175" fontId="7" fillId="0" borderId="0" xfId="0" applyNumberFormat="1" applyFont="1" applyAlignment="1">
      <alignment horizontal="center"/>
    </xf>
    <xf numFmtId="0" fontId="7" fillId="0" borderId="8" xfId="0" applyFont="1" applyBorder="1" applyAlignment="1">
      <alignment horizontal="center"/>
    </xf>
    <xf numFmtId="0" fontId="7" fillId="3" borderId="4" xfId="0" applyFont="1" applyFill="1" applyBorder="1"/>
    <xf numFmtId="0" fontId="7" fillId="3" borderId="0" xfId="0" applyFont="1" applyFill="1"/>
    <xf numFmtId="0" fontId="7" fillId="3" borderId="5" xfId="0" applyFont="1" applyFill="1" applyBorder="1"/>
    <xf numFmtId="0" fontId="6" fillId="3" borderId="4" xfId="0" applyFont="1" applyFill="1" applyBorder="1" applyAlignment="1">
      <alignment horizontal="center"/>
    </xf>
    <xf numFmtId="0" fontId="6" fillId="0" borderId="0" xfId="0" applyFont="1"/>
    <xf numFmtId="0" fontId="7" fillId="0" borderId="4" xfId="0" applyFont="1" applyBorder="1" applyAlignment="1">
      <alignment vertical="center"/>
    </xf>
    <xf numFmtId="0" fontId="7" fillId="0" borderId="0" xfId="0" applyFont="1" applyAlignment="1">
      <alignment horizontal="center" wrapText="1"/>
    </xf>
    <xf numFmtId="0" fontId="6" fillId="0" borderId="4" xfId="0" applyFont="1" applyBorder="1" applyAlignment="1">
      <alignment vertical="center"/>
    </xf>
    <xf numFmtId="165" fontId="7" fillId="0" borderId="0" xfId="1" applyFont="1" applyAlignment="1">
      <alignment horizontal="center"/>
    </xf>
    <xf numFmtId="165" fontId="7" fillId="0" borderId="7" xfId="1" applyFont="1" applyBorder="1" applyAlignment="1">
      <alignment horizontal="center"/>
    </xf>
    <xf numFmtId="0" fontId="7" fillId="0" borderId="6" xfId="0" applyFont="1" applyBorder="1" applyAlignment="1">
      <alignment vertical="center"/>
    </xf>
    <xf numFmtId="0" fontId="53" fillId="0" borderId="0" xfId="2" applyFont="1"/>
    <xf numFmtId="0" fontId="7" fillId="0" borderId="0" xfId="0" applyFont="1" applyAlignment="1">
      <alignment wrapText="1"/>
    </xf>
    <xf numFmtId="9" fontId="7" fillId="0" borderId="0" xfId="0" applyNumberFormat="1" applyFont="1"/>
    <xf numFmtId="9" fontId="7" fillId="0" borderId="0" xfId="4" applyFont="1"/>
    <xf numFmtId="0" fontId="6" fillId="0" borderId="0" xfId="0" applyFont="1" applyAlignment="1">
      <alignment wrapText="1"/>
    </xf>
    <xf numFmtId="169" fontId="7" fillId="0" borderId="0" xfId="0" applyNumberFormat="1" applyFont="1"/>
    <xf numFmtId="175" fontId="7" fillId="0" borderId="0" xfId="0" applyNumberFormat="1" applyFont="1"/>
    <xf numFmtId="164" fontId="7" fillId="0" borderId="0" xfId="3" applyFont="1"/>
    <xf numFmtId="164" fontId="7" fillId="0" borderId="0" xfId="0" applyNumberFormat="1" applyFont="1"/>
    <xf numFmtId="168" fontId="7" fillId="0" borderId="0" xfId="0" applyNumberFormat="1" applyFont="1"/>
    <xf numFmtId="171" fontId="7" fillId="0" borderId="0" xfId="3" applyNumberFormat="1" applyFont="1"/>
    <xf numFmtId="0" fontId="55" fillId="0" borderId="0" xfId="0" applyFont="1"/>
    <xf numFmtId="0" fontId="6" fillId="0" borderId="0" xfId="0" applyFont="1" applyAlignment="1">
      <alignment horizontal="center"/>
    </xf>
    <xf numFmtId="167" fontId="7" fillId="0" borderId="0" xfId="0" applyNumberFormat="1" applyFont="1"/>
    <xf numFmtId="0" fontId="7" fillId="0" borderId="0" xfId="0" applyFont="1" applyAlignment="1">
      <alignment horizontal="right"/>
    </xf>
    <xf numFmtId="174" fontId="7" fillId="0" borderId="0" xfId="0" applyNumberFormat="1" applyFont="1"/>
    <xf numFmtId="165" fontId="7" fillId="0" borderId="0" xfId="1" applyFont="1"/>
    <xf numFmtId="0" fontId="59" fillId="0" borderId="0" xfId="0" applyFont="1" applyAlignment="1">
      <alignment horizontal="left" vertical="center" readingOrder="1"/>
    </xf>
    <xf numFmtId="176" fontId="7" fillId="0" borderId="0" xfId="1" applyNumberFormat="1" applyFont="1"/>
    <xf numFmtId="176" fontId="7" fillId="0" borderId="0" xfId="1" applyNumberFormat="1" applyFont="1" applyAlignment="1">
      <alignment wrapText="1"/>
    </xf>
    <xf numFmtId="176" fontId="6" fillId="0" borderId="0" xfId="0" applyNumberFormat="1" applyFont="1"/>
    <xf numFmtId="176" fontId="7" fillId="0" borderId="0" xfId="0" applyNumberFormat="1" applyFont="1"/>
    <xf numFmtId="170" fontId="7" fillId="0" borderId="0" xfId="0" applyNumberFormat="1" applyFont="1"/>
    <xf numFmtId="2" fontId="7" fillId="0" borderId="0" xfId="0" applyNumberFormat="1" applyFont="1"/>
    <xf numFmtId="0" fontId="10" fillId="0" borderId="0" xfId="5" applyFont="1"/>
    <xf numFmtId="0" fontId="60" fillId="0" borderId="0" xfId="5" applyFont="1"/>
    <xf numFmtId="0" fontId="60" fillId="0" borderId="0" xfId="5" applyFont="1" applyAlignment="1">
      <alignment wrapText="1"/>
    </xf>
    <xf numFmtId="0" fontId="10" fillId="0" borderId="0" xfId="5" applyFont="1" applyAlignment="1">
      <alignment horizontal="right"/>
    </xf>
    <xf numFmtId="173" fontId="10" fillId="0" borderId="0" xfId="1" applyNumberFormat="1" applyFont="1"/>
    <xf numFmtId="173" fontId="10" fillId="0" borderId="0" xfId="5" applyNumberFormat="1" applyFont="1"/>
    <xf numFmtId="165" fontId="10" fillId="0" borderId="0" xfId="1" applyNumberFormat="1" applyFont="1"/>
    <xf numFmtId="171" fontId="10" fillId="0" borderId="0" xfId="3" applyNumberFormat="1" applyFont="1"/>
    <xf numFmtId="0" fontId="10" fillId="0" borderId="0" xfId="5" applyFont="1" applyAlignment="1">
      <alignment horizontal="left"/>
    </xf>
    <xf numFmtId="171" fontId="60" fillId="0" borderId="0" xfId="5" applyNumberFormat="1" applyFont="1"/>
    <xf numFmtId="0" fontId="61" fillId="0" borderId="0" xfId="0" applyFont="1"/>
    <xf numFmtId="172" fontId="7" fillId="0" borderId="0" xfId="1" applyNumberFormat="1" applyFont="1"/>
    <xf numFmtId="0" fontId="6" fillId="0" borderId="9" xfId="0" applyFont="1" applyBorder="1"/>
    <xf numFmtId="0" fontId="6" fillId="0" borderId="10" xfId="0" applyFont="1" applyBorder="1"/>
    <xf numFmtId="170" fontId="6" fillId="0" borderId="10" xfId="0" applyNumberFormat="1" applyFont="1" applyBorder="1"/>
    <xf numFmtId="1" fontId="6" fillId="0" borderId="10" xfId="0" applyNumberFormat="1" applyFont="1" applyBorder="1"/>
    <xf numFmtId="173" fontId="6" fillId="0" borderId="10" xfId="1" applyNumberFormat="1" applyFont="1" applyBorder="1"/>
    <xf numFmtId="0" fontId="6" fillId="0" borderId="11" xfId="0" applyFont="1" applyBorder="1"/>
    <xf numFmtId="1" fontId="6" fillId="0" borderId="0" xfId="0" applyNumberFormat="1" applyFont="1"/>
    <xf numFmtId="170" fontId="6" fillId="0" borderId="0" xfId="0" applyNumberFormat="1" applyFont="1"/>
    <xf numFmtId="171" fontId="6" fillId="0" borderId="10" xfId="3" applyNumberFormat="1" applyFont="1" applyBorder="1"/>
    <xf numFmtId="0" fontId="63" fillId="0" borderId="0" xfId="0" applyFont="1"/>
    <xf numFmtId="0" fontId="64" fillId="0" borderId="0" xfId="0" applyFont="1"/>
    <xf numFmtId="0" fontId="61" fillId="0" borderId="0" xfId="0" applyFont="1" applyAlignment="1">
      <alignment wrapText="1"/>
    </xf>
    <xf numFmtId="173" fontId="7" fillId="0" borderId="0" xfId="0" applyNumberFormat="1" applyFont="1"/>
    <xf numFmtId="49" fontId="6" fillId="0" borderId="0" xfId="0" applyNumberFormat="1" applyFont="1"/>
    <xf numFmtId="0" fontId="62" fillId="0" borderId="0" xfId="0" applyFont="1"/>
    <xf numFmtId="0" fontId="66" fillId="0" borderId="0" xfId="0" applyFont="1"/>
    <xf numFmtId="0" fontId="67" fillId="0" borderId="0" xfId="0" applyFont="1"/>
    <xf numFmtId="0" fontId="68" fillId="0" borderId="0" xfId="0" applyFont="1"/>
    <xf numFmtId="0" fontId="69" fillId="0" borderId="0" xfId="0" applyFont="1"/>
    <xf numFmtId="173" fontId="6" fillId="0" borderId="0" xfId="1" applyNumberFormat="1" applyFont="1"/>
    <xf numFmtId="173" fontId="6" fillId="0" borderId="0" xfId="0" applyNumberFormat="1" applyFont="1"/>
    <xf numFmtId="165" fontId="6" fillId="0" borderId="0" xfId="1" applyFont="1"/>
    <xf numFmtId="1" fontId="7" fillId="0" borderId="0" xfId="0" applyNumberFormat="1" applyFont="1"/>
    <xf numFmtId="0" fontId="71" fillId="0" borderId="0" xfId="0" applyFont="1"/>
    <xf numFmtId="9" fontId="6" fillId="0" borderId="0" xfId="0" applyNumberFormat="1" applyFont="1" applyAlignment="1">
      <alignment horizontal="center"/>
    </xf>
    <xf numFmtId="0" fontId="72" fillId="0" borderId="0" xfId="0" applyFont="1"/>
    <xf numFmtId="3" fontId="73" fillId="0" borderId="0" xfId="0" applyNumberFormat="1" applyFont="1"/>
    <xf numFmtId="0" fontId="73" fillId="0" borderId="0" xfId="0" applyFont="1"/>
    <xf numFmtId="9" fontId="74" fillId="0" borderId="0" xfId="0" applyNumberFormat="1" applyFont="1"/>
    <xf numFmtId="0" fontId="74" fillId="0" borderId="0" xfId="0" applyFont="1"/>
    <xf numFmtId="9" fontId="75" fillId="0" borderId="0" xfId="0" applyNumberFormat="1" applyFont="1"/>
    <xf numFmtId="0" fontId="75" fillId="0" borderId="0" xfId="0" applyFont="1"/>
    <xf numFmtId="0" fontId="34" fillId="11" borderId="10" xfId="0" applyFont="1" applyFill="1" applyBorder="1" applyAlignment="1" applyProtection="1">
      <alignment horizontal="center" vertical="center"/>
    </xf>
    <xf numFmtId="0" fontId="4" fillId="10" borderId="8" xfId="2" applyFill="1" applyBorder="1" applyAlignment="1">
      <alignment horizontal="left" vertical="center"/>
    </xf>
    <xf numFmtId="0" fontId="13" fillId="10" borderId="2" xfId="0" applyFont="1" applyFill="1" applyBorder="1" applyAlignment="1">
      <alignment horizontal="left" vertical="top"/>
    </xf>
    <xf numFmtId="0" fontId="76" fillId="10" borderId="2" xfId="2" applyFont="1" applyFill="1" applyBorder="1" applyAlignment="1">
      <alignment vertical="top"/>
    </xf>
    <xf numFmtId="0" fontId="36" fillId="10" borderId="3" xfId="0" applyFont="1" applyFill="1" applyBorder="1" applyAlignment="1">
      <alignment vertical="top"/>
    </xf>
    <xf numFmtId="0" fontId="13" fillId="10" borderId="0" xfId="0" applyFont="1" applyFill="1" applyBorder="1" applyAlignment="1">
      <alignment horizontal="left" vertical="top"/>
    </xf>
    <xf numFmtId="0" fontId="0" fillId="10" borderId="0" xfId="0" applyFill="1" applyBorder="1" applyAlignment="1">
      <alignment vertical="top"/>
    </xf>
    <xf numFmtId="0" fontId="0" fillId="10" borderId="5" xfId="0" applyFill="1" applyBorder="1" applyAlignment="1">
      <alignment vertical="top"/>
    </xf>
    <xf numFmtId="0" fontId="76" fillId="10" borderId="8" xfId="2" applyFont="1" applyFill="1" applyBorder="1" applyAlignment="1">
      <alignment vertical="top"/>
    </xf>
    <xf numFmtId="0" fontId="0" fillId="0" borderId="1" xfId="0" applyBorder="1" applyAlignment="1"/>
    <xf numFmtId="0" fontId="0" fillId="0" borderId="2" xfId="0" applyBorder="1" applyAlignment="1"/>
    <xf numFmtId="0" fontId="0" fillId="0" borderId="3" xfId="0" applyBorder="1" applyAlignment="1"/>
    <xf numFmtId="0" fontId="0" fillId="0" borderId="6" xfId="0" applyBorder="1" applyAlignment="1"/>
    <xf numFmtId="0" fontId="0" fillId="0" borderId="7" xfId="0" applyBorder="1" applyAlignment="1"/>
    <xf numFmtId="0" fontId="0" fillId="0" borderId="8" xfId="0" applyBorder="1" applyAlignment="1"/>
    <xf numFmtId="0" fontId="29" fillId="10" borderId="1" xfId="0" applyFont="1" applyFill="1" applyBorder="1" applyAlignment="1">
      <alignment horizontal="left" vertical="top" wrapText="1"/>
    </xf>
    <xf numFmtId="0" fontId="29" fillId="10" borderId="2" xfId="0" applyFont="1" applyFill="1" applyBorder="1" applyAlignment="1">
      <alignment horizontal="left" vertical="top" wrapText="1"/>
    </xf>
    <xf numFmtId="0" fontId="29" fillId="10" borderId="3" xfId="0" applyFont="1" applyFill="1" applyBorder="1" applyAlignment="1">
      <alignment horizontal="left" vertical="top" wrapText="1"/>
    </xf>
    <xf numFmtId="0" fontId="38" fillId="10" borderId="7" xfId="2" applyFont="1" applyFill="1" applyBorder="1" applyAlignment="1">
      <alignment horizontal="left" vertical="center" wrapText="1"/>
    </xf>
    <xf numFmtId="0" fontId="38" fillId="0" borderId="7" xfId="2" applyFont="1" applyBorder="1" applyAlignment="1">
      <alignment horizontal="left" vertical="center" wrapText="1"/>
    </xf>
    <xf numFmtId="0" fontId="38" fillId="0" borderId="8" xfId="2" applyFont="1" applyBorder="1" applyAlignment="1">
      <alignment horizontal="left" vertical="center" wrapText="1"/>
    </xf>
    <xf numFmtId="0" fontId="34" fillId="5" borderId="9" xfId="0" applyFont="1" applyFill="1" applyBorder="1" applyAlignment="1">
      <alignment horizontal="left" vertical="center"/>
    </xf>
    <xf numFmtId="0" fontId="34" fillId="5" borderId="10" xfId="0" applyFont="1" applyFill="1" applyBorder="1" applyAlignment="1">
      <alignment horizontal="left" vertical="center"/>
    </xf>
    <xf numFmtId="0" fontId="34" fillId="5" borderId="11" xfId="0" applyFont="1" applyFill="1" applyBorder="1" applyAlignment="1">
      <alignment horizontal="left" vertical="center"/>
    </xf>
    <xf numFmtId="0" fontId="30" fillId="8" borderId="9" xfId="0" applyFont="1" applyFill="1" applyBorder="1" applyAlignment="1">
      <alignment horizontal="left" vertical="top" wrapText="1"/>
    </xf>
    <xf numFmtId="0" fontId="30" fillId="8" borderId="10" xfId="0" applyFont="1" applyFill="1" applyBorder="1" applyAlignment="1">
      <alignment horizontal="left" vertical="top" wrapText="1"/>
    </xf>
    <xf numFmtId="0" fontId="30" fillId="8" borderId="11" xfId="0" applyFont="1" applyFill="1" applyBorder="1" applyAlignment="1">
      <alignment horizontal="left" vertical="top" wrapText="1"/>
    </xf>
    <xf numFmtId="0" fontId="29" fillId="8" borderId="1" xfId="0" applyFont="1" applyFill="1" applyBorder="1" applyAlignment="1">
      <alignment horizontal="left" vertical="top" wrapText="1"/>
    </xf>
    <xf numFmtId="0" fontId="29" fillId="8" borderId="2" xfId="0" applyFont="1" applyFill="1" applyBorder="1" applyAlignment="1">
      <alignment horizontal="left" vertical="top" wrapText="1"/>
    </xf>
    <xf numFmtId="0" fontId="29" fillId="8" borderId="3" xfId="0" applyFont="1" applyFill="1" applyBorder="1" applyAlignment="1">
      <alignment horizontal="left" vertical="top" wrapText="1"/>
    </xf>
    <xf numFmtId="0" fontId="0" fillId="8" borderId="6" xfId="0" applyFill="1" applyBorder="1" applyAlignment="1">
      <alignment horizontal="left" vertical="top" wrapText="1"/>
    </xf>
    <xf numFmtId="0" fontId="0" fillId="8" borderId="7" xfId="0" applyFill="1" applyBorder="1" applyAlignment="1">
      <alignment horizontal="left" vertical="top" wrapText="1"/>
    </xf>
    <xf numFmtId="0" fontId="0" fillId="8" borderId="8" xfId="0" applyFill="1" applyBorder="1" applyAlignment="1">
      <alignment horizontal="left" vertical="top" wrapText="1"/>
    </xf>
    <xf numFmtId="0" fontId="32" fillId="12" borderId="9" xfId="0" applyFont="1" applyFill="1" applyBorder="1" applyAlignment="1">
      <alignment horizontal="left" vertical="center"/>
    </xf>
    <xf numFmtId="0" fontId="7" fillId="12" borderId="10" xfId="0" applyFont="1" applyFill="1" applyBorder="1" applyAlignment="1">
      <alignment horizontal="left" vertical="center"/>
    </xf>
    <xf numFmtId="0" fontId="7" fillId="12" borderId="11" xfId="0" applyFont="1" applyFill="1" applyBorder="1" applyAlignment="1">
      <alignment horizontal="left" vertical="center"/>
    </xf>
    <xf numFmtId="0" fontId="0" fillId="10" borderId="6" xfId="0" applyFont="1" applyFill="1" applyBorder="1" applyAlignment="1">
      <alignment horizontal="left" vertical="center" wrapText="1"/>
    </xf>
    <xf numFmtId="0" fontId="0" fillId="10" borderId="7" xfId="0" applyFont="1" applyFill="1" applyBorder="1" applyAlignment="1">
      <alignment horizontal="left" vertical="center"/>
    </xf>
    <xf numFmtId="0" fontId="0" fillId="10" borderId="1" xfId="0" applyFill="1" applyBorder="1" applyAlignment="1"/>
    <xf numFmtId="0" fontId="0" fillId="10" borderId="2" xfId="0" applyFill="1" applyBorder="1" applyAlignment="1"/>
    <xf numFmtId="0" fontId="0" fillId="10" borderId="3" xfId="0" applyFill="1" applyBorder="1" applyAlignment="1"/>
    <xf numFmtId="0" fontId="0" fillId="0" borderId="0" xfId="0" applyAlignment="1"/>
    <xf numFmtId="0" fontId="0" fillId="0" borderId="10" xfId="0" applyBorder="1" applyAlignment="1">
      <alignment horizontal="left" vertical="center"/>
    </xf>
    <xf numFmtId="0" fontId="0" fillId="0" borderId="11" xfId="0" applyBorder="1" applyAlignment="1">
      <alignment horizontal="left" vertical="center"/>
    </xf>
    <xf numFmtId="0" fontId="34" fillId="11" borderId="1" xfId="0" applyFont="1" applyFill="1" applyBorder="1" applyAlignment="1">
      <alignment horizontal="left" vertical="center"/>
    </xf>
    <xf numFmtId="0" fontId="34" fillId="11" borderId="2" xfId="0" applyFont="1" applyFill="1" applyBorder="1" applyAlignment="1">
      <alignment horizontal="left" vertical="center"/>
    </xf>
    <xf numFmtId="0" fontId="34" fillId="11" borderId="3" xfId="0" applyFont="1" applyFill="1" applyBorder="1" applyAlignment="1">
      <alignment horizontal="left" vertical="center"/>
    </xf>
    <xf numFmtId="0" fontId="34" fillId="11" borderId="9" xfId="0" applyFont="1" applyFill="1" applyBorder="1" applyAlignment="1">
      <alignment horizontal="left" vertical="center"/>
    </xf>
    <xf numFmtId="0" fontId="34" fillId="11" borderId="10" xfId="0" applyFont="1" applyFill="1" applyBorder="1" applyAlignment="1">
      <alignment horizontal="left" vertical="center"/>
    </xf>
    <xf numFmtId="0" fontId="34" fillId="11" borderId="11" xfId="0" applyFont="1" applyFill="1" applyBorder="1" applyAlignment="1">
      <alignment horizontal="left" vertical="center"/>
    </xf>
    <xf numFmtId="0" fontId="17" fillId="0" borderId="6" xfId="0" applyFont="1" applyBorder="1" applyAlignment="1">
      <alignment horizontal="left"/>
    </xf>
    <xf numFmtId="0" fontId="17" fillId="0" borderId="21" xfId="0" applyFont="1" applyBorder="1" applyAlignment="1">
      <alignment horizontal="left"/>
    </xf>
    <xf numFmtId="0" fontId="4" fillId="0" borderId="7" xfId="2" applyBorder="1" applyAlignment="1">
      <alignment horizontal="left"/>
    </xf>
    <xf numFmtId="0" fontId="4" fillId="0" borderId="8" xfId="2" applyBorder="1" applyAlignment="1">
      <alignment horizontal="left"/>
    </xf>
    <xf numFmtId="0" fontId="17" fillId="0" borderId="4" xfId="0" applyFont="1" applyBorder="1" applyAlignment="1">
      <alignment horizontal="left"/>
    </xf>
    <xf numFmtId="0" fontId="17" fillId="0" borderId="17" xfId="0" applyFont="1" applyBorder="1" applyAlignment="1">
      <alignment horizontal="left"/>
    </xf>
    <xf numFmtId="0" fontId="4" fillId="0" borderId="0" xfId="2" applyAlignment="1">
      <alignment horizontal="left"/>
    </xf>
    <xf numFmtId="0" fontId="4" fillId="0" borderId="5" xfId="2" applyBorder="1" applyAlignment="1">
      <alignment horizontal="left"/>
    </xf>
    <xf numFmtId="0" fontId="32" fillId="12" borderId="9" xfId="0" applyFont="1" applyFill="1" applyBorder="1" applyAlignment="1">
      <alignment horizontal="center" vertical="center"/>
    </xf>
    <xf numFmtId="0" fontId="32" fillId="12" borderId="11" xfId="0" applyFont="1" applyFill="1" applyBorder="1" applyAlignment="1">
      <alignment horizontal="center" vertical="center"/>
    </xf>
    <xf numFmtId="0" fontId="37" fillId="5" borderId="9" xfId="0" applyFont="1" applyFill="1" applyBorder="1" applyAlignment="1">
      <alignment horizontal="left" vertical="center"/>
    </xf>
    <xf numFmtId="0" fontId="37" fillId="5" borderId="10" xfId="0" applyFont="1" applyFill="1" applyBorder="1" applyAlignment="1">
      <alignment horizontal="left" vertical="center"/>
    </xf>
    <xf numFmtId="0" fontId="37" fillId="5" borderId="11" xfId="0" applyFont="1" applyFill="1" applyBorder="1" applyAlignment="1">
      <alignment horizontal="left" vertical="center"/>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166" fontId="34" fillId="11" borderId="9" xfId="0" applyNumberFormat="1" applyFont="1" applyFill="1" applyBorder="1" applyAlignment="1">
      <alignment horizontal="center" vertical="center"/>
    </xf>
    <xf numFmtId="166" fontId="35" fillId="11" borderId="10" xfId="0" applyNumberFormat="1" applyFont="1" applyFill="1" applyBorder="1" applyAlignment="1">
      <alignment horizontal="center" vertical="center"/>
    </xf>
    <xf numFmtId="0" fontId="35" fillId="11" borderId="11" xfId="0" applyFont="1" applyFill="1" applyBorder="1" applyAlignment="1">
      <alignment horizontal="center" vertical="center"/>
    </xf>
    <xf numFmtId="166" fontId="34" fillId="11" borderId="10" xfId="0" applyNumberFormat="1" applyFont="1" applyFill="1" applyBorder="1" applyAlignment="1">
      <alignment horizontal="center" vertical="center"/>
    </xf>
    <xf numFmtId="166" fontId="34" fillId="11" borderId="11" xfId="0" applyNumberFormat="1" applyFont="1" applyFill="1" applyBorder="1" applyAlignment="1">
      <alignment horizontal="center" vertical="center"/>
    </xf>
    <xf numFmtId="0" fontId="34" fillId="11" borderId="1" xfId="0" applyFont="1" applyFill="1" applyBorder="1" applyAlignment="1">
      <alignment horizontal="center" vertical="center"/>
    </xf>
    <xf numFmtId="0" fontId="34" fillId="11" borderId="3" xfId="0" applyFont="1" applyFill="1" applyBorder="1" applyAlignment="1">
      <alignment horizontal="center" vertical="center"/>
    </xf>
    <xf numFmtId="0" fontId="32" fillId="11" borderId="10" xfId="0" applyFont="1" applyFill="1" applyBorder="1" applyAlignment="1">
      <alignment horizontal="left" vertical="center"/>
    </xf>
    <xf numFmtId="0" fontId="32" fillId="11" borderId="11" xfId="0" applyFont="1" applyFill="1" applyBorder="1" applyAlignment="1">
      <alignment horizontal="left" vertical="center"/>
    </xf>
    <xf numFmtId="0" fontId="46" fillId="0" borderId="0" xfId="0" applyFont="1" applyAlignment="1">
      <alignment wrapText="1"/>
    </xf>
    <xf numFmtId="0" fontId="17" fillId="0" borderId="0" xfId="0" applyFont="1" applyAlignment="1">
      <alignment wrapText="1"/>
    </xf>
    <xf numFmtId="0" fontId="32" fillId="12" borderId="10" xfId="0" applyFont="1" applyFill="1" applyBorder="1" applyAlignment="1">
      <alignment horizontal="left" vertical="center"/>
    </xf>
    <xf numFmtId="0" fontId="32" fillId="12" borderId="11" xfId="0" applyFont="1" applyFill="1" applyBorder="1" applyAlignment="1">
      <alignment horizontal="left" vertical="center"/>
    </xf>
    <xf numFmtId="0" fontId="40" fillId="12" borderId="9" xfId="0" applyFont="1" applyFill="1" applyBorder="1" applyAlignment="1">
      <alignment horizontal="left" vertical="center"/>
    </xf>
    <xf numFmtId="0" fontId="40" fillId="12" borderId="10" xfId="0" applyFont="1" applyFill="1" applyBorder="1" applyAlignment="1">
      <alignment horizontal="left" vertical="center"/>
    </xf>
    <xf numFmtId="0" fontId="40" fillId="12" borderId="11" xfId="0" applyFont="1" applyFill="1" applyBorder="1" applyAlignment="1">
      <alignment horizontal="left" vertical="center"/>
    </xf>
    <xf numFmtId="0" fontId="19" fillId="9" borderId="9" xfId="0" applyFont="1" applyFill="1" applyBorder="1" applyAlignment="1">
      <alignment horizontal="center"/>
    </xf>
    <xf numFmtId="0" fontId="19" fillId="9" borderId="10" xfId="0" applyFont="1" applyFill="1" applyBorder="1" applyAlignment="1">
      <alignment horizontal="center"/>
    </xf>
    <xf numFmtId="0" fontId="19" fillId="9" borderId="11" xfId="0" applyFont="1" applyFill="1" applyBorder="1" applyAlignment="1">
      <alignment horizontal="center"/>
    </xf>
    <xf numFmtId="0" fontId="46" fillId="0" borderId="0" xfId="0" applyFont="1" applyAlignment="1">
      <alignment horizontal="left" vertical="top" wrapText="1"/>
    </xf>
    <xf numFmtId="0" fontId="17" fillId="0" borderId="0" xfId="0" applyFont="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32" fillId="12" borderId="1" xfId="0" applyFont="1" applyFill="1" applyBorder="1" applyAlignment="1">
      <alignment horizontal="left" vertical="center"/>
    </xf>
    <xf numFmtId="0" fontId="32" fillId="12" borderId="2" xfId="0" applyFont="1" applyFill="1" applyBorder="1" applyAlignment="1">
      <alignment horizontal="left" vertical="center"/>
    </xf>
    <xf numFmtId="0" fontId="32" fillId="12" borderId="3" xfId="0" applyFont="1" applyFill="1" applyBorder="1" applyAlignment="1">
      <alignment horizontal="left" vertical="center"/>
    </xf>
    <xf numFmtId="0" fontId="17" fillId="9" borderId="23" xfId="0" applyFont="1" applyFill="1" applyBorder="1" applyAlignment="1">
      <alignment horizontal="left" vertical="top" wrapText="1"/>
    </xf>
    <xf numFmtId="0" fontId="11" fillId="9" borderId="24" xfId="0" applyFont="1" applyFill="1" applyBorder="1" applyAlignment="1">
      <alignment horizontal="left" wrapText="1"/>
    </xf>
    <xf numFmtId="0" fontId="11" fillId="9" borderId="25" xfId="0" applyFont="1" applyFill="1" applyBorder="1" applyAlignment="1">
      <alignment horizontal="left" wrapText="1"/>
    </xf>
    <xf numFmtId="0" fontId="19" fillId="9" borderId="9" xfId="0" applyFont="1" applyFill="1" applyBorder="1" applyAlignment="1">
      <alignment wrapText="1"/>
    </xf>
    <xf numFmtId="0" fontId="0" fillId="0" borderId="10" xfId="0" applyBorder="1" applyAlignment="1">
      <alignment wrapText="1"/>
    </xf>
    <xf numFmtId="0" fontId="11" fillId="0" borderId="0" xfId="0" applyFont="1" applyAlignment="1">
      <alignment horizontal="left" vertical="top" wrapText="1"/>
    </xf>
    <xf numFmtId="0" fontId="46" fillId="0" borderId="0" xfId="0" applyFont="1" applyAlignment="1">
      <alignment horizontal="left" wrapText="1"/>
    </xf>
    <xf numFmtId="0" fontId="11" fillId="0" borderId="0" xfId="0" applyFont="1" applyAlignment="1">
      <alignment horizontal="left" wrapText="1"/>
    </xf>
    <xf numFmtId="0" fontId="29" fillId="8" borderId="4" xfId="0" applyFont="1" applyFill="1" applyBorder="1" applyAlignment="1">
      <alignment horizontal="left" vertical="center"/>
    </xf>
    <xf numFmtId="0" fontId="29" fillId="8" borderId="0" xfId="0" applyFont="1" applyFill="1" applyAlignment="1">
      <alignment horizontal="left" vertical="center"/>
    </xf>
    <xf numFmtId="0" fontId="29" fillId="8" borderId="5"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29" fillId="8" borderId="8" xfId="0" applyFont="1" applyFill="1" applyBorder="1" applyAlignment="1">
      <alignment horizontal="left" vertical="center"/>
    </xf>
    <xf numFmtId="0" fontId="29" fillId="9" borderId="4" xfId="0" applyFont="1" applyFill="1" applyBorder="1" applyAlignment="1">
      <alignment horizontal="left" vertical="center"/>
    </xf>
    <xf numFmtId="0" fontId="29" fillId="9" borderId="0" xfId="0" applyFont="1" applyFill="1" applyAlignment="1">
      <alignment horizontal="left" vertical="center"/>
    </xf>
    <xf numFmtId="0" fontId="29" fillId="9" borderId="5" xfId="0" applyFont="1" applyFill="1" applyBorder="1" applyAlignment="1">
      <alignment horizontal="left" vertical="center"/>
    </xf>
    <xf numFmtId="0" fontId="29" fillId="9" borderId="6" xfId="0" applyFont="1" applyFill="1" applyBorder="1" applyAlignment="1">
      <alignment horizontal="left" vertical="center"/>
    </xf>
    <xf numFmtId="0" fontId="29" fillId="9" borderId="7" xfId="0" applyFont="1" applyFill="1" applyBorder="1" applyAlignment="1">
      <alignment horizontal="left" vertical="center"/>
    </xf>
    <xf numFmtId="0" fontId="29" fillId="9" borderId="8" xfId="0" applyFont="1" applyFill="1" applyBorder="1" applyAlignment="1">
      <alignment horizontal="left" vertical="center"/>
    </xf>
    <xf numFmtId="0" fontId="14" fillId="12" borderId="4" xfId="0" applyFont="1" applyFill="1" applyBorder="1" applyAlignment="1">
      <alignment horizontal="center" vertical="center"/>
    </xf>
    <xf numFmtId="0" fontId="14" fillId="12" borderId="5" xfId="0" applyFont="1" applyFill="1" applyBorder="1" applyAlignment="1">
      <alignment horizontal="center" vertical="center"/>
    </xf>
    <xf numFmtId="0" fontId="14" fillId="12" borderId="6" xfId="0" applyFont="1" applyFill="1" applyBorder="1" applyAlignment="1">
      <alignment horizontal="center" vertical="center"/>
    </xf>
    <xf numFmtId="0" fontId="14" fillId="12" borderId="8" xfId="0" applyFont="1" applyFill="1" applyBorder="1" applyAlignment="1">
      <alignment horizontal="center" vertical="center"/>
    </xf>
    <xf numFmtId="0" fontId="29" fillId="8" borderId="9" xfId="0" applyFont="1" applyFill="1" applyBorder="1" applyAlignment="1">
      <alignment horizontal="left" vertical="top" wrapText="1"/>
    </xf>
    <xf numFmtId="0" fontId="29" fillId="8" borderId="10" xfId="0" applyFont="1" applyFill="1" applyBorder="1" applyAlignment="1">
      <alignment horizontal="left" vertical="top" wrapText="1"/>
    </xf>
    <xf numFmtId="0" fontId="29" fillId="8" borderId="11" xfId="0" applyFont="1" applyFill="1" applyBorder="1" applyAlignment="1">
      <alignment horizontal="left" vertical="top" wrapText="1"/>
    </xf>
    <xf numFmtId="0" fontId="14" fillId="12" borderId="1" xfId="0" applyFont="1" applyFill="1" applyBorder="1" applyAlignment="1">
      <alignment horizontal="center" vertical="center"/>
    </xf>
    <xf numFmtId="0" fontId="14" fillId="12" borderId="3" xfId="0" applyFont="1" applyFill="1" applyBorder="1" applyAlignment="1">
      <alignment horizontal="center" vertical="center"/>
    </xf>
    <xf numFmtId="0" fontId="33" fillId="12" borderId="9" xfId="0" applyFont="1" applyFill="1" applyBorder="1" applyAlignment="1">
      <alignment horizontal="left"/>
    </xf>
    <xf numFmtId="0" fontId="33" fillId="12" borderId="10" xfId="0" applyFont="1" applyFill="1" applyBorder="1" applyAlignment="1">
      <alignment horizontal="left"/>
    </xf>
    <xf numFmtId="0" fontId="33" fillId="12" borderId="11" xfId="0" applyFont="1" applyFill="1" applyBorder="1" applyAlignment="1">
      <alignment horizontal="left"/>
    </xf>
    <xf numFmtId="0" fontId="32" fillId="11" borderId="9" xfId="0" applyFont="1" applyFill="1" applyBorder="1" applyAlignment="1">
      <alignment horizontal="left" vertical="center"/>
    </xf>
    <xf numFmtId="0" fontId="29" fillId="8" borderId="1" xfId="0" applyFont="1" applyFill="1" applyBorder="1" applyAlignment="1">
      <alignment horizontal="left" vertical="center"/>
    </xf>
    <xf numFmtId="0" fontId="29" fillId="8" borderId="2" xfId="0" applyFont="1" applyFill="1" applyBorder="1" applyAlignment="1">
      <alignment horizontal="left" vertical="center"/>
    </xf>
    <xf numFmtId="0" fontId="29" fillId="8" borderId="3" xfId="0" applyFont="1" applyFill="1" applyBorder="1" applyAlignment="1">
      <alignment horizontal="left" vertical="center"/>
    </xf>
    <xf numFmtId="0" fontId="32" fillId="12" borderId="9" xfId="0" applyFont="1" applyFill="1" applyBorder="1" applyAlignment="1">
      <alignment horizontal="left" vertical="top"/>
    </xf>
    <xf numFmtId="0" fontId="32" fillId="12" borderId="10" xfId="0" applyFont="1" applyFill="1" applyBorder="1" applyAlignment="1">
      <alignment horizontal="left" vertical="top"/>
    </xf>
    <xf numFmtId="0" fontId="32" fillId="12" borderId="11" xfId="0" applyFont="1" applyFill="1" applyBorder="1" applyAlignment="1">
      <alignment horizontal="left" vertical="top"/>
    </xf>
    <xf numFmtId="0" fontId="13" fillId="13" borderId="10" xfId="0" applyFont="1" applyFill="1" applyBorder="1" applyAlignment="1">
      <alignment horizontal="center" vertical="center"/>
    </xf>
    <xf numFmtId="0" fontId="13" fillId="13" borderId="11" xfId="0" applyFont="1" applyFill="1" applyBorder="1" applyAlignment="1">
      <alignment horizontal="center" vertical="center"/>
    </xf>
    <xf numFmtId="0" fontId="13" fillId="13" borderId="9" xfId="0" applyFont="1" applyFill="1" applyBorder="1" applyAlignment="1">
      <alignment horizontal="center" vertical="center"/>
    </xf>
    <xf numFmtId="0" fontId="0" fillId="0" borderId="10" xfId="0" applyBorder="1" applyAlignment="1"/>
    <xf numFmtId="0" fontId="0" fillId="0" borderId="11" xfId="0" applyBorder="1" applyAlignment="1"/>
    <xf numFmtId="0" fontId="29" fillId="8" borderId="6" xfId="0" applyFont="1" applyFill="1" applyBorder="1" applyAlignment="1">
      <alignment horizontal="left" vertical="top" wrapText="1"/>
    </xf>
    <xf numFmtId="0" fontId="29" fillId="8" borderId="7" xfId="0" applyFont="1" applyFill="1" applyBorder="1" applyAlignment="1">
      <alignment horizontal="left" vertical="top" wrapText="1"/>
    </xf>
    <xf numFmtId="0" fontId="45" fillId="12" borderId="26" xfId="0" applyFont="1" applyFill="1" applyBorder="1" applyAlignment="1">
      <alignment horizontal="left" vertical="center"/>
    </xf>
    <xf numFmtId="0" fontId="45" fillId="12" borderId="0" xfId="0" applyFont="1" applyFill="1" applyBorder="1" applyAlignment="1">
      <alignment horizontal="left" vertical="center"/>
    </xf>
    <xf numFmtId="0" fontId="30" fillId="10" borderId="1" xfId="0" applyFont="1" applyFill="1" applyBorder="1" applyAlignment="1">
      <alignment horizontal="left" vertical="top" wrapText="1"/>
    </xf>
    <xf numFmtId="0" fontId="30" fillId="10" borderId="2" xfId="0" applyFont="1" applyFill="1" applyBorder="1" applyAlignment="1">
      <alignment horizontal="left" vertical="top" wrapText="1"/>
    </xf>
    <xf numFmtId="0" fontId="30" fillId="10" borderId="6" xfId="0" applyFont="1" applyFill="1" applyBorder="1" applyAlignment="1">
      <alignment horizontal="left" vertical="top" wrapText="1"/>
    </xf>
    <xf numFmtId="0" fontId="30" fillId="10" borderId="7" xfId="0" applyFont="1" applyFill="1" applyBorder="1" applyAlignment="1">
      <alignment horizontal="left" vertical="top" wrapText="1"/>
    </xf>
    <xf numFmtId="0" fontId="32" fillId="12" borderId="26" xfId="0" applyFont="1" applyFill="1" applyBorder="1" applyAlignment="1">
      <alignment horizontal="left" vertical="center"/>
    </xf>
    <xf numFmtId="0" fontId="32" fillId="12" borderId="0" xfId="0" applyFont="1" applyFill="1" applyBorder="1" applyAlignment="1">
      <alignment horizontal="left" vertical="center"/>
    </xf>
    <xf numFmtId="0" fontId="38" fillId="10" borderId="4" xfId="2" applyFont="1" applyFill="1" applyBorder="1" applyAlignment="1">
      <alignment horizontal="left" vertical="top"/>
    </xf>
    <xf numFmtId="0" fontId="38" fillId="10" borderId="0" xfId="2" applyFont="1" applyFill="1" applyBorder="1" applyAlignment="1">
      <alignment horizontal="left" vertical="top"/>
    </xf>
    <xf numFmtId="0" fontId="29" fillId="10" borderId="6" xfId="0" applyFont="1" applyFill="1" applyBorder="1" applyAlignment="1">
      <alignment horizontal="left" vertical="top" wrapText="1"/>
    </xf>
    <xf numFmtId="0" fontId="29" fillId="10" borderId="7" xfId="0" applyFont="1" applyFill="1" applyBorder="1" applyAlignment="1">
      <alignment horizontal="left" vertical="top" wrapText="1"/>
    </xf>
    <xf numFmtId="0" fontId="0" fillId="0" borderId="7" xfId="0" applyBorder="1" applyAlignment="1">
      <alignment vertical="top"/>
    </xf>
    <xf numFmtId="0" fontId="32" fillId="10" borderId="0" xfId="0" applyFont="1" applyFill="1" applyAlignment="1">
      <alignment horizontal="left" vertical="center"/>
    </xf>
    <xf numFmtId="0" fontId="29" fillId="10" borderId="0" xfId="0" applyFont="1" applyFill="1" applyAlignment="1">
      <alignment horizontal="left" vertical="top" wrapText="1"/>
    </xf>
    <xf numFmtId="0" fontId="6" fillId="2" borderId="1" xfId="0" applyFont="1" applyFill="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6" fillId="3" borderId="0" xfId="0" applyFont="1" applyFill="1" applyAlignment="1">
      <alignment horizontal="center"/>
    </xf>
    <xf numFmtId="0" fontId="7" fillId="3" borderId="0" xfId="0" applyFont="1" applyFill="1" applyAlignment="1">
      <alignment horizontal="center"/>
    </xf>
    <xf numFmtId="0" fontId="7" fillId="0" borderId="5" xfId="0" applyFont="1" applyBorder="1" applyAlignment="1"/>
    <xf numFmtId="0" fontId="6" fillId="0" borderId="0" xfId="0" applyFont="1" applyAlignment="1">
      <alignment wrapText="1"/>
    </xf>
    <xf numFmtId="0" fontId="7" fillId="0" borderId="0" xfId="0" applyFont="1" applyAlignment="1">
      <alignment wrapText="1"/>
    </xf>
    <xf numFmtId="0" fontId="6" fillId="2" borderId="2"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2" xfId="0" applyFont="1" applyFill="1" applyBorder="1" applyAlignment="1">
      <alignment vertical="center"/>
    </xf>
    <xf numFmtId="0" fontId="7" fillId="0" borderId="3" xfId="0" applyFont="1" applyBorder="1" applyAlignment="1">
      <alignment vertical="center"/>
    </xf>
    <xf numFmtId="0" fontId="7" fillId="0" borderId="0" xfId="0" applyFont="1" applyAlignment="1"/>
    <xf numFmtId="0" fontId="54" fillId="0" borderId="0" xfId="0" applyFont="1" applyAlignment="1">
      <alignment wrapText="1"/>
    </xf>
    <xf numFmtId="0" fontId="60" fillId="7" borderId="0" xfId="5" applyFont="1" applyFill="1" applyAlignment="1">
      <alignment horizontal="center"/>
    </xf>
    <xf numFmtId="0" fontId="7" fillId="0" borderId="0" xfId="0" applyFont="1" applyAlignment="1">
      <alignment horizontal="center"/>
    </xf>
    <xf numFmtId="0" fontId="10" fillId="6" borderId="0" xfId="5" applyFont="1" applyFill="1" applyAlignment="1">
      <alignment horizontal="center"/>
    </xf>
    <xf numFmtId="0" fontId="7" fillId="6" borderId="0" xfId="0" applyFont="1" applyFill="1" applyAlignment="1">
      <alignment horizontal="center"/>
    </xf>
    <xf numFmtId="0" fontId="10" fillId="2" borderId="0" xfId="5" applyFont="1" applyFill="1" applyAlignment="1">
      <alignment horizontal="center"/>
    </xf>
    <xf numFmtId="0" fontId="7" fillId="2" borderId="0" xfId="0" applyFont="1" applyFill="1" applyAlignment="1">
      <alignment horizontal="center"/>
    </xf>
    <xf numFmtId="0" fontId="60" fillId="3" borderId="0" xfId="5" applyFont="1" applyFill="1" applyAlignment="1">
      <alignment horizontal="center"/>
    </xf>
    <xf numFmtId="0" fontId="61" fillId="0" borderId="0" xfId="0" applyFont="1" applyAlignment="1">
      <alignment wrapText="1"/>
    </xf>
    <xf numFmtId="0" fontId="61" fillId="0" borderId="0" xfId="0" applyFont="1" applyAlignment="1"/>
    <xf numFmtId="0" fontId="62" fillId="0" borderId="0" xfId="0" applyFont="1" applyAlignment="1"/>
    <xf numFmtId="173" fontId="61" fillId="0" borderId="3" xfId="1" applyNumberFormat="1" applyFont="1" applyBorder="1" applyAlignment="1"/>
    <xf numFmtId="173" fontId="61" fillId="0" borderId="8" xfId="1" applyNumberFormat="1" applyFont="1" applyBorder="1" applyAlignment="1"/>
    <xf numFmtId="0" fontId="61" fillId="0" borderId="1" xfId="0" applyFont="1" applyBorder="1" applyAlignment="1"/>
    <xf numFmtId="0" fontId="61" fillId="0" borderId="6" xfId="0" applyFont="1" applyBorder="1" applyAlignment="1"/>
    <xf numFmtId="1" fontId="61" fillId="0" borderId="2" xfId="0" applyNumberFormat="1" applyFont="1" applyBorder="1" applyAlignment="1"/>
    <xf numFmtId="1" fontId="61" fillId="0" borderId="7" xfId="0" applyNumberFormat="1" applyFont="1" applyBorder="1" applyAlignment="1"/>
    <xf numFmtId="170" fontId="61" fillId="0" borderId="2" xfId="0" applyNumberFormat="1" applyFont="1" applyBorder="1" applyAlignment="1"/>
    <xf numFmtId="170" fontId="61" fillId="0" borderId="7" xfId="0" applyNumberFormat="1" applyFont="1" applyBorder="1" applyAlignment="1"/>
    <xf numFmtId="3" fontId="66" fillId="0" borderId="0" xfId="0" applyNumberFormat="1" applyFont="1" applyAlignment="1"/>
    <xf numFmtId="0" fontId="66" fillId="0" borderId="0" xfId="0" applyFont="1" applyAlignment="1"/>
    <xf numFmtId="173" fontId="61" fillId="0" borderId="2" xfId="1" applyNumberFormat="1" applyFont="1" applyBorder="1" applyAlignment="1"/>
    <xf numFmtId="173" fontId="61" fillId="0" borderId="7" xfId="1" applyNumberFormat="1" applyFont="1" applyBorder="1" applyAlignment="1"/>
    <xf numFmtId="0" fontId="61" fillId="0" borderId="2" xfId="0" applyFont="1" applyBorder="1" applyAlignment="1"/>
    <xf numFmtId="0" fontId="61" fillId="0" borderId="7" xfId="0" applyFont="1" applyBorder="1" applyAlignment="1"/>
    <xf numFmtId="0" fontId="65" fillId="0" borderId="0" xfId="0" applyFont="1" applyAlignment="1"/>
    <xf numFmtId="3" fontId="66" fillId="0" borderId="0" xfId="0" applyNumberFormat="1" applyFont="1" applyAlignment="1">
      <alignment horizontal="right"/>
    </xf>
    <xf numFmtId="0" fontId="66" fillId="0" borderId="0" xfId="0" applyFont="1" applyAlignment="1">
      <alignment horizontal="right"/>
    </xf>
    <xf numFmtId="0" fontId="72" fillId="0" borderId="0" xfId="0" applyFont="1" applyAlignment="1">
      <alignment horizontal="left"/>
    </xf>
    <xf numFmtId="0" fontId="72" fillId="0" borderId="0" xfId="0" applyFont="1" applyAlignment="1">
      <alignment horizontal="center"/>
    </xf>
    <xf numFmtId="0" fontId="72" fillId="0" borderId="0" xfId="0" applyFont="1" applyAlignment="1"/>
  </cellXfs>
  <cellStyles count="6">
    <cellStyle name="Hyperlink" xfId="2" builtinId="8"/>
    <cellStyle name="Komma" xfId="3" builtinId="3"/>
    <cellStyle name="Procent" xfId="4" builtinId="5"/>
    <cellStyle name="Standaard" xfId="0" builtinId="0"/>
    <cellStyle name="Standaard 2" xfId="5" xr:uid="{00000000-0005-0000-0000-000004000000}"/>
    <cellStyle name="Valuta" xfId="1" builtinId="4"/>
  </cellStyles>
  <dxfs count="0"/>
  <tableStyles count="0" defaultTableStyle="TableStyleMedium2" defaultPivotStyle="PivotStyleLight16"/>
  <colors>
    <mruColors>
      <color rgb="FF4B575F"/>
      <color rgb="FFFF7D00"/>
      <color rgb="FFFFC200"/>
      <color rgb="FFA5A5A5"/>
      <color rgb="FFFE7500"/>
      <color rgb="FF426A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rgbClr val="4B575F"/>
                </a:solidFill>
                <a:latin typeface="+mn-lt"/>
                <a:ea typeface="+mn-ea"/>
                <a:cs typeface="+mn-cs"/>
              </a:defRPr>
            </a:pPr>
            <a:r>
              <a:rPr lang="en-US"/>
              <a:t>Voertuigen in wagenpark</a:t>
            </a:r>
          </a:p>
        </c:rich>
      </c:tx>
      <c:overlay val="0"/>
      <c:spPr>
        <a:noFill/>
        <a:ln>
          <a:noFill/>
        </a:ln>
        <a:effectLst/>
      </c:spPr>
      <c:txPr>
        <a:bodyPr rot="0" spcFirstLastPara="1" vertOverflow="ellipsis" vert="horz" wrap="square" anchor="ctr" anchorCtr="1"/>
        <a:lstStyle/>
        <a:p>
          <a:pPr>
            <a:defRPr sz="1600" b="1" i="0" u="none" strike="noStrike" kern="1200" baseline="0">
              <a:solidFill>
                <a:srgbClr val="4B575F"/>
              </a:solidFill>
              <a:latin typeface="+mn-lt"/>
              <a:ea typeface="+mn-ea"/>
              <a:cs typeface="+mn-cs"/>
            </a:defRPr>
          </a:pPr>
          <a:endParaRPr lang="nl-NL"/>
        </a:p>
      </c:txPr>
    </c:title>
    <c:autoTitleDeleted val="0"/>
    <c:plotArea>
      <c:layout/>
      <c:barChart>
        <c:barDir val="col"/>
        <c:grouping val="clustered"/>
        <c:varyColors val="0"/>
        <c:ser>
          <c:idx val="0"/>
          <c:order val="0"/>
          <c:tx>
            <c:strRef>
              <c:f>'4. Analyse'!$C$4</c:f>
              <c:strCache>
                <c:ptCount val="1"/>
                <c:pt idx="0">
                  <c:v>Huidig</c:v>
                </c:pt>
              </c:strCache>
            </c:strRef>
          </c:tx>
          <c:spPr>
            <a:solidFill>
              <a:schemeClr val="accent3"/>
            </a:solidFill>
            <a:ln>
              <a:noFill/>
            </a:ln>
            <a:effectLst/>
          </c:spPr>
          <c:invertIfNegative val="0"/>
          <c:cat>
            <c:strRef>
              <c:f>'4. Analyse'!$B$5:$B$15</c:f>
              <c:strCache>
                <c:ptCount val="11"/>
                <c:pt idx="0">
                  <c:v>A</c:v>
                </c:pt>
                <c:pt idx="1">
                  <c:v>B</c:v>
                </c:pt>
                <c:pt idx="2">
                  <c:v>C</c:v>
                </c:pt>
                <c:pt idx="3">
                  <c:v>D</c:v>
                </c:pt>
                <c:pt idx="4">
                  <c:v>E</c:v>
                </c:pt>
                <c:pt idx="5">
                  <c:v>F</c:v>
                </c:pt>
                <c:pt idx="6">
                  <c:v>L</c:v>
                </c:pt>
                <c:pt idx="7">
                  <c:v>M</c:v>
                </c:pt>
                <c:pt idx="8">
                  <c:v>Bestelbus klein</c:v>
                </c:pt>
                <c:pt idx="9">
                  <c:v>Bestelbus middel</c:v>
                </c:pt>
                <c:pt idx="10">
                  <c:v>Bestelbus groot</c:v>
                </c:pt>
              </c:strCache>
            </c:strRef>
          </c:cat>
          <c:val>
            <c:numRef>
              <c:f>'4. Analyse'!$C$5:$C$15</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0-5FC9-1A4F-B247-9189CE6DEED5}"/>
            </c:ext>
          </c:extLst>
        </c:ser>
        <c:ser>
          <c:idx val="1"/>
          <c:order val="1"/>
          <c:tx>
            <c:strRef>
              <c:f>'4. Analyse'!$D$4</c:f>
              <c:strCache>
                <c:ptCount val="1"/>
                <c:pt idx="0">
                  <c:v>Elektrisch</c:v>
                </c:pt>
              </c:strCache>
            </c:strRef>
          </c:tx>
          <c:spPr>
            <a:solidFill>
              <a:schemeClr val="accent5"/>
            </a:solidFill>
            <a:ln>
              <a:noFill/>
            </a:ln>
            <a:effectLst/>
          </c:spPr>
          <c:invertIfNegative val="0"/>
          <c:cat>
            <c:strRef>
              <c:f>'4. Analyse'!$B$5:$B$15</c:f>
              <c:strCache>
                <c:ptCount val="11"/>
                <c:pt idx="0">
                  <c:v>A</c:v>
                </c:pt>
                <c:pt idx="1">
                  <c:v>B</c:v>
                </c:pt>
                <c:pt idx="2">
                  <c:v>C</c:v>
                </c:pt>
                <c:pt idx="3">
                  <c:v>D</c:v>
                </c:pt>
                <c:pt idx="4">
                  <c:v>E</c:v>
                </c:pt>
                <c:pt idx="5">
                  <c:v>F</c:v>
                </c:pt>
                <c:pt idx="6">
                  <c:v>L</c:v>
                </c:pt>
                <c:pt idx="7">
                  <c:v>M</c:v>
                </c:pt>
                <c:pt idx="8">
                  <c:v>Bestelbus klein</c:v>
                </c:pt>
                <c:pt idx="9">
                  <c:v>Bestelbus middel</c:v>
                </c:pt>
                <c:pt idx="10">
                  <c:v>Bestelbus groot</c:v>
                </c:pt>
              </c:strCache>
            </c:strRef>
          </c:cat>
          <c:val>
            <c:numRef>
              <c:f>'4. Analyse'!$D$5:$D$15</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5FC9-1A4F-B247-9189CE6DEED5}"/>
            </c:ext>
          </c:extLst>
        </c:ser>
        <c:dLbls>
          <c:showLegendKey val="0"/>
          <c:showVal val="0"/>
          <c:showCatName val="0"/>
          <c:showSerName val="0"/>
          <c:showPercent val="0"/>
          <c:showBubbleSize val="0"/>
        </c:dLbls>
        <c:gapWidth val="150"/>
        <c:axId val="147036032"/>
        <c:axId val="147047936"/>
      </c:barChart>
      <c:catAx>
        <c:axId val="147036032"/>
        <c:scaling>
          <c:orientation val="minMax"/>
        </c:scaling>
        <c:delete val="0"/>
        <c:axPos val="b"/>
        <c:title>
          <c:tx>
            <c:rich>
              <a:bodyPr rot="0" spcFirstLastPara="1" vertOverflow="ellipsis" vert="horz" wrap="square" anchor="ctr" anchorCtr="1"/>
              <a:lstStyle/>
              <a:p>
                <a:pPr>
                  <a:defRPr sz="900" b="1" i="0" u="none" strike="noStrike" kern="1200" baseline="0">
                    <a:solidFill>
                      <a:srgbClr val="4B575F"/>
                    </a:solidFill>
                    <a:latin typeface="+mn-lt"/>
                    <a:ea typeface="+mn-ea"/>
                    <a:cs typeface="+mn-cs"/>
                  </a:defRPr>
                </a:pPr>
                <a:r>
                  <a:rPr lang="en-US"/>
                  <a:t>Voertuigsegment</a:t>
                </a:r>
              </a:p>
            </c:rich>
          </c:tx>
          <c:overlay val="0"/>
          <c:spPr>
            <a:noFill/>
            <a:ln>
              <a:noFill/>
            </a:ln>
            <a:effectLst/>
          </c:spPr>
          <c:txPr>
            <a:bodyPr rot="0" spcFirstLastPara="1" vertOverflow="ellipsis" vert="horz" wrap="square" anchor="ctr" anchorCtr="1"/>
            <a:lstStyle/>
            <a:p>
              <a:pPr>
                <a:defRPr sz="900" b="1" i="0" u="none" strike="noStrike" kern="1200" baseline="0">
                  <a:solidFill>
                    <a:srgbClr val="4B575F"/>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rgbClr val="4B575F"/>
                </a:solidFill>
                <a:latin typeface="+mn-lt"/>
                <a:ea typeface="+mn-ea"/>
                <a:cs typeface="+mn-cs"/>
              </a:defRPr>
            </a:pPr>
            <a:endParaRPr lang="nl-NL"/>
          </a:p>
        </c:txPr>
        <c:crossAx val="147047936"/>
        <c:crosses val="autoZero"/>
        <c:auto val="1"/>
        <c:lblAlgn val="ctr"/>
        <c:lblOffset val="100"/>
        <c:noMultiLvlLbl val="0"/>
      </c:catAx>
      <c:valAx>
        <c:axId val="147047936"/>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rgbClr val="4B575F"/>
                    </a:solidFill>
                    <a:latin typeface="+mn-lt"/>
                    <a:ea typeface="+mn-ea"/>
                    <a:cs typeface="+mn-cs"/>
                  </a:defRPr>
                </a:pPr>
                <a:r>
                  <a:rPr lang="en-US"/>
                  <a:t>Aantal</a:t>
                </a:r>
              </a:p>
            </c:rich>
          </c:tx>
          <c:overlay val="0"/>
          <c:spPr>
            <a:noFill/>
            <a:ln>
              <a:noFill/>
            </a:ln>
            <a:effectLst/>
          </c:spPr>
          <c:txPr>
            <a:bodyPr rot="-5400000" spcFirstLastPara="1" vertOverflow="ellipsis" vert="horz" wrap="square" anchor="ctr" anchorCtr="1"/>
            <a:lstStyle/>
            <a:p>
              <a:pPr>
                <a:defRPr sz="900" b="1" i="0" u="none" strike="noStrike" kern="1200" baseline="0">
                  <a:solidFill>
                    <a:srgbClr val="4B575F"/>
                  </a:solidFill>
                  <a:latin typeface="+mn-lt"/>
                  <a:ea typeface="+mn-ea"/>
                  <a:cs typeface="+mn-cs"/>
                </a:defRPr>
              </a:pPr>
              <a:endParaRPr lang="nl-NL"/>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4B575F"/>
                </a:solidFill>
                <a:latin typeface="+mn-lt"/>
                <a:ea typeface="+mn-ea"/>
                <a:cs typeface="+mn-cs"/>
              </a:defRPr>
            </a:pPr>
            <a:endParaRPr lang="nl-NL"/>
          </a:p>
        </c:txPr>
        <c:crossAx val="147036032"/>
        <c:crosses val="autoZero"/>
        <c:crossBetween val="between"/>
        <c:majorUnit val="1"/>
        <c:min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rgbClr val="4B575F"/>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2">
          <a:lumMod val="15000"/>
          <a:lumOff val="85000"/>
        </a:schemeClr>
      </a:solidFill>
      <a:round/>
    </a:ln>
    <a:effectLst/>
  </c:spPr>
  <c:txPr>
    <a:bodyPr/>
    <a:lstStyle/>
    <a:p>
      <a:pPr>
        <a:defRPr>
          <a:solidFill>
            <a:srgbClr val="4B575F"/>
          </a:solidFill>
        </a:defRPr>
      </a:pPr>
      <a:endParaRPr lang="nl-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TCO volledig wagenpark</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0774151814592581"/>
          <c:y val="0.11552429938193209"/>
          <c:w val="0.60967589391269439"/>
          <c:h val="0.80983384133434932"/>
        </c:manualLayout>
      </c:layout>
      <c:barChart>
        <c:barDir val="col"/>
        <c:grouping val="stacked"/>
        <c:varyColors val="0"/>
        <c:ser>
          <c:idx val="3"/>
          <c:order val="0"/>
          <c:tx>
            <c:strRef>
              <c:f>'4. Analyse'!$B$26</c:f>
              <c:strCache>
                <c:ptCount val="1"/>
                <c:pt idx="0">
                  <c:v>Afschrijving (incl. BPM)</c:v>
                </c:pt>
              </c:strCache>
            </c:strRef>
          </c:tx>
          <c:spPr>
            <a:solidFill>
              <a:schemeClr val="accent4"/>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Analyse'!$C$27:$D$27</c:f>
              <c:numCache>
                <c:formatCode>_("€"\ * #,##0_);_("€"\ * \(#,##0\);_("€"\ * "-"??_);_(@_)</c:formatCode>
                <c:ptCount val="2"/>
                <c:pt idx="0">
                  <c:v>0</c:v>
                </c:pt>
                <c:pt idx="1">
                  <c:v>0</c:v>
                </c:pt>
              </c:numCache>
            </c:numRef>
          </c:val>
          <c:extLst>
            <c:ext xmlns:c16="http://schemas.microsoft.com/office/drawing/2014/chart" uri="{C3380CC4-5D6E-409C-BE32-E72D297353CC}">
              <c16:uniqueId val="{00000000-2C00-B54C-A7C7-203077F3F5DB}"/>
            </c:ext>
          </c:extLst>
        </c:ser>
        <c:ser>
          <c:idx val="4"/>
          <c:order val="1"/>
          <c:tx>
            <c:strRef>
              <c:f>'4. Analyse'!$B$36</c:f>
              <c:strCache>
                <c:ptCount val="1"/>
                <c:pt idx="0">
                  <c:v>Energiekosten</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'4. Analyse'!$C$43:$D$43</c:f>
              <c:numCache>
                <c:formatCode>_("€"\ * #,##0_);_("€"\ * \(#,##0\);_("€"\ * "-"??_);_(@_)</c:formatCode>
                <c:ptCount val="2"/>
                <c:pt idx="0">
                  <c:v>0</c:v>
                </c:pt>
                <c:pt idx="1">
                  <c:v>0</c:v>
                </c:pt>
              </c:numCache>
            </c:numRef>
          </c:val>
          <c:extLst>
            <c:ext xmlns:c16="http://schemas.microsoft.com/office/drawing/2014/chart" uri="{C3380CC4-5D6E-409C-BE32-E72D297353CC}">
              <c16:uniqueId val="{00000001-2C00-B54C-A7C7-203077F3F5DB}"/>
            </c:ext>
          </c:extLst>
        </c:ser>
        <c:ser>
          <c:idx val="0"/>
          <c:order val="2"/>
          <c:tx>
            <c:strRef>
              <c:f>'4. Analyse'!$B$30</c:f>
              <c:strCache>
                <c:ptCount val="1"/>
                <c:pt idx="0">
                  <c:v>Verzekeringskosten</c:v>
                </c:pt>
              </c:strCache>
            </c:strRef>
          </c:tx>
          <c:spPr>
            <a:solidFill>
              <a:schemeClr val="accent1"/>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Analyse'!$C$40:$D$40</c:f>
              <c:numCache>
                <c:formatCode>_("€"\ * #,##0_);_("€"\ * \(#,##0\);_("€"\ * "-"??_);_(@_)</c:formatCode>
                <c:ptCount val="2"/>
                <c:pt idx="0">
                  <c:v>0</c:v>
                </c:pt>
                <c:pt idx="1">
                  <c:v>0</c:v>
                </c:pt>
              </c:numCache>
            </c:numRef>
          </c:val>
          <c:extLst>
            <c:ext xmlns:c16="http://schemas.microsoft.com/office/drawing/2014/chart" uri="{C3380CC4-5D6E-409C-BE32-E72D297353CC}">
              <c16:uniqueId val="{00000002-2C00-B54C-A7C7-203077F3F5DB}"/>
            </c:ext>
          </c:extLst>
        </c:ser>
        <c:ser>
          <c:idx val="2"/>
          <c:order val="3"/>
          <c:tx>
            <c:strRef>
              <c:f>'4. Analyse'!$B$32</c:f>
              <c:strCache>
                <c:ptCount val="1"/>
                <c:pt idx="0">
                  <c:v>Onderhoudskosten</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Analyse'!$C$42:$D$42</c:f>
              <c:numCache>
                <c:formatCode>_("€"\ * #,##0_);_("€"\ * \(#,##0\);_("€"\ * "-"??_);_(@_)</c:formatCode>
                <c:ptCount val="2"/>
                <c:pt idx="0">
                  <c:v>0</c:v>
                </c:pt>
                <c:pt idx="1">
                  <c:v>0</c:v>
                </c:pt>
              </c:numCache>
            </c:numRef>
          </c:val>
          <c:extLst>
            <c:ext xmlns:c16="http://schemas.microsoft.com/office/drawing/2014/chart" uri="{C3380CC4-5D6E-409C-BE32-E72D297353CC}">
              <c16:uniqueId val="{00000003-2C00-B54C-A7C7-203077F3F5DB}"/>
            </c:ext>
          </c:extLst>
        </c:ser>
        <c:ser>
          <c:idx val="1"/>
          <c:order val="4"/>
          <c:tx>
            <c:strRef>
              <c:f>'4. Analyse'!$B$31</c:f>
              <c:strCache>
                <c:ptCount val="1"/>
                <c:pt idx="0">
                  <c:v>MRB</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Analyse'!$C$41:$D$41</c:f>
              <c:numCache>
                <c:formatCode>_("€"\ * #,##0_);_("€"\ * \(#,##0\);_("€"\ * "-"??_);_(@_)</c:formatCode>
                <c:ptCount val="2"/>
                <c:pt idx="0">
                  <c:v>0</c:v>
                </c:pt>
                <c:pt idx="1">
                  <c:v>0</c:v>
                </c:pt>
              </c:numCache>
            </c:numRef>
          </c:val>
          <c:extLst>
            <c:ext xmlns:c16="http://schemas.microsoft.com/office/drawing/2014/chart" uri="{C3380CC4-5D6E-409C-BE32-E72D297353CC}">
              <c16:uniqueId val="{00000004-2C00-B54C-A7C7-203077F3F5DB}"/>
            </c:ext>
          </c:extLst>
        </c:ser>
        <c:dLbls>
          <c:showLegendKey val="0"/>
          <c:showVal val="1"/>
          <c:showCatName val="0"/>
          <c:showSerName val="0"/>
          <c:showPercent val="0"/>
          <c:showBubbleSize val="0"/>
        </c:dLbls>
        <c:gapWidth val="55"/>
        <c:overlap val="100"/>
        <c:axId val="146736640"/>
        <c:axId val="146738176"/>
      </c:barChart>
      <c:scatterChart>
        <c:scatterStyle val="lineMarker"/>
        <c:varyColors val="0"/>
        <c:ser>
          <c:idx val="5"/>
          <c:order val="5"/>
          <c:tx>
            <c:strRef>
              <c:f>'4. Analyse'!$B$46</c:f>
              <c:strCache>
                <c:ptCount val="1"/>
                <c:pt idx="0">
                  <c:v>Totale kosten voor looptijd</c:v>
                </c:pt>
              </c:strCache>
            </c:strRef>
          </c:tx>
          <c:spPr>
            <a:ln w="25400" cap="rnd">
              <a:noFill/>
              <a:round/>
            </a:ln>
            <a:effectLst/>
          </c:spPr>
          <c:marker>
            <c:symbol val="circle"/>
            <c:size val="5"/>
            <c:spPr>
              <a:solidFill>
                <a:schemeClr val="accent6"/>
              </a:solidFill>
              <a:ln w="9525">
                <a:solidFill>
                  <a:schemeClr val="accent6"/>
                </a:solidFill>
              </a:ln>
              <a:effectLst/>
            </c:spPr>
          </c:marker>
          <c:dLbls>
            <c:dLbl>
              <c:idx val="0"/>
              <c:layout>
                <c:manualLayout>
                  <c:x val="-5.288007554296506E-2"/>
                  <c:y val="-4.0322580645161289E-2"/>
                </c:manualLayout>
              </c:layout>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2C00-B54C-A7C7-203077F3F5DB}"/>
                </c:ext>
              </c:extLst>
            </c:dLbl>
            <c:dLbl>
              <c:idx val="1"/>
              <c:layout>
                <c:manualLayout>
                  <c:x val="-4.9102927289896126E-2"/>
                  <c:y val="-4.0322580645161338E-2"/>
                </c:manualLayout>
              </c:layout>
              <c:showLegendKey val="0"/>
              <c:showVal val="1"/>
              <c:showCatName val="0"/>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2C00-B54C-A7C7-203077F3F5DB}"/>
                </c:ext>
              </c:extLst>
            </c:dLbl>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yVal>
            <c:numRef>
              <c:f>'4. Analyse'!$C$46:$D$46</c:f>
              <c:numCache>
                <c:formatCode>_("€"\ * #,##0_);_("€"\ * \(#,##0\);_("€"\ * "-"??_);_(@_)</c:formatCode>
                <c:ptCount val="2"/>
                <c:pt idx="0">
                  <c:v>0</c:v>
                </c:pt>
                <c:pt idx="1">
                  <c:v>0</c:v>
                </c:pt>
              </c:numCache>
            </c:numRef>
          </c:yVal>
          <c:smooth val="0"/>
          <c:extLst>
            <c:ext xmlns:c16="http://schemas.microsoft.com/office/drawing/2014/chart" uri="{C3380CC4-5D6E-409C-BE32-E72D297353CC}">
              <c16:uniqueId val="{00000005-2C00-B54C-A7C7-203077F3F5DB}"/>
            </c:ext>
          </c:extLst>
        </c:ser>
        <c:dLbls>
          <c:showLegendKey val="0"/>
          <c:showVal val="0"/>
          <c:showCatName val="0"/>
          <c:showSerName val="0"/>
          <c:showPercent val="0"/>
          <c:showBubbleSize val="0"/>
        </c:dLbls>
        <c:axId val="146736640"/>
        <c:axId val="146738176"/>
      </c:scatterChart>
      <c:catAx>
        <c:axId val="146736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6738176"/>
        <c:crosses val="autoZero"/>
        <c:auto val="1"/>
        <c:lblAlgn val="ctr"/>
        <c:lblOffset val="100"/>
        <c:noMultiLvlLbl val="0"/>
      </c:catAx>
      <c:valAx>
        <c:axId val="146738176"/>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73664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TCO gemiddeld per voertuig</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manualLayout>
          <c:layoutTarget val="inner"/>
          <c:xMode val="edge"/>
          <c:yMode val="edge"/>
          <c:x val="0.10774151814592581"/>
          <c:y val="0.11552429938193209"/>
          <c:w val="0.60967589391269439"/>
          <c:h val="0.80983384133434932"/>
        </c:manualLayout>
      </c:layout>
      <c:barChart>
        <c:barDir val="col"/>
        <c:grouping val="stacked"/>
        <c:varyColors val="0"/>
        <c:ser>
          <c:idx val="3"/>
          <c:order val="0"/>
          <c:tx>
            <c:strRef>
              <c:f>'4. Analyse'!$B$26</c:f>
              <c:strCache>
                <c:ptCount val="1"/>
                <c:pt idx="0">
                  <c:v>Afschrijving (incl. BPM)</c:v>
                </c:pt>
              </c:strCache>
            </c:strRef>
          </c:tx>
          <c:spPr>
            <a:solidFill>
              <a:schemeClr val="accent4"/>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Analyse'!$F$27:$G$27</c:f>
              <c:numCache>
                <c:formatCode>_("€"\ * #,##0_);_("€"\ * \(#,##0\);_("€"\ * "-"??_);_(@_)</c:formatCode>
                <c:ptCount val="2"/>
                <c:pt idx="0">
                  <c:v>0</c:v>
                </c:pt>
                <c:pt idx="1">
                  <c:v>0</c:v>
                </c:pt>
              </c:numCache>
            </c:numRef>
          </c:val>
          <c:extLst>
            <c:ext xmlns:c16="http://schemas.microsoft.com/office/drawing/2014/chart" uri="{C3380CC4-5D6E-409C-BE32-E72D297353CC}">
              <c16:uniqueId val="{00000000-96FB-AA4A-8AD8-2F2CA9465A5C}"/>
            </c:ext>
          </c:extLst>
        </c:ser>
        <c:ser>
          <c:idx val="4"/>
          <c:order val="1"/>
          <c:tx>
            <c:strRef>
              <c:f>'4. Analyse'!$B$36</c:f>
              <c:strCache>
                <c:ptCount val="1"/>
                <c:pt idx="0">
                  <c:v>Energiekosten</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'4. Analyse'!$F$43:$G$43</c:f>
              <c:numCache>
                <c:formatCode>_("€"\ * #,##0_);_("€"\ * \(#,##0\);_("€"\ * "-"??_);_(@_)</c:formatCode>
                <c:ptCount val="2"/>
                <c:pt idx="0">
                  <c:v>0</c:v>
                </c:pt>
                <c:pt idx="1">
                  <c:v>0</c:v>
                </c:pt>
              </c:numCache>
            </c:numRef>
          </c:val>
          <c:extLst>
            <c:ext xmlns:c16="http://schemas.microsoft.com/office/drawing/2014/chart" uri="{C3380CC4-5D6E-409C-BE32-E72D297353CC}">
              <c16:uniqueId val="{00000001-96FB-AA4A-8AD8-2F2CA9465A5C}"/>
            </c:ext>
          </c:extLst>
        </c:ser>
        <c:ser>
          <c:idx val="0"/>
          <c:order val="2"/>
          <c:tx>
            <c:strRef>
              <c:f>'4. Analyse'!$B$30</c:f>
              <c:strCache>
                <c:ptCount val="1"/>
                <c:pt idx="0">
                  <c:v>Verzekeringskosten</c:v>
                </c:pt>
              </c:strCache>
            </c:strRef>
          </c:tx>
          <c:spPr>
            <a:solidFill>
              <a:schemeClr val="accent1"/>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Analyse'!$F$40:$G$40</c:f>
              <c:numCache>
                <c:formatCode>_("€"\ * #,##0_);_("€"\ * \(#,##0\);_("€"\ * "-"??_);_(@_)</c:formatCode>
                <c:ptCount val="2"/>
                <c:pt idx="0">
                  <c:v>0</c:v>
                </c:pt>
                <c:pt idx="1">
                  <c:v>0</c:v>
                </c:pt>
              </c:numCache>
            </c:numRef>
          </c:val>
          <c:extLst>
            <c:ext xmlns:c16="http://schemas.microsoft.com/office/drawing/2014/chart" uri="{C3380CC4-5D6E-409C-BE32-E72D297353CC}">
              <c16:uniqueId val="{00000002-96FB-AA4A-8AD8-2F2CA9465A5C}"/>
            </c:ext>
          </c:extLst>
        </c:ser>
        <c:ser>
          <c:idx val="2"/>
          <c:order val="3"/>
          <c:tx>
            <c:strRef>
              <c:f>'4. Analyse'!$B$32</c:f>
              <c:strCache>
                <c:ptCount val="1"/>
                <c:pt idx="0">
                  <c:v>Onderhoudskosten</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Analyse'!$F$42:$G$42</c:f>
              <c:numCache>
                <c:formatCode>_("€"\ * #,##0_);_("€"\ * \(#,##0\);_("€"\ * "-"??_);_(@_)</c:formatCode>
                <c:ptCount val="2"/>
                <c:pt idx="0">
                  <c:v>0</c:v>
                </c:pt>
                <c:pt idx="1">
                  <c:v>0</c:v>
                </c:pt>
              </c:numCache>
            </c:numRef>
          </c:val>
          <c:extLst>
            <c:ext xmlns:c16="http://schemas.microsoft.com/office/drawing/2014/chart" uri="{C3380CC4-5D6E-409C-BE32-E72D297353CC}">
              <c16:uniqueId val="{00000003-96FB-AA4A-8AD8-2F2CA9465A5C}"/>
            </c:ext>
          </c:extLst>
        </c:ser>
        <c:ser>
          <c:idx val="1"/>
          <c:order val="4"/>
          <c:tx>
            <c:strRef>
              <c:f>'4. Analyse'!$B$31</c:f>
              <c:strCache>
                <c:ptCount val="1"/>
                <c:pt idx="0">
                  <c:v>MRB</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Analyse'!$F$41:$G$41</c:f>
              <c:numCache>
                <c:formatCode>_("€"\ * #,##0_);_("€"\ * \(#,##0\);_("€"\ * "-"??_);_(@_)</c:formatCode>
                <c:ptCount val="2"/>
                <c:pt idx="0">
                  <c:v>0</c:v>
                </c:pt>
                <c:pt idx="1">
                  <c:v>0</c:v>
                </c:pt>
              </c:numCache>
            </c:numRef>
          </c:val>
          <c:extLst>
            <c:ext xmlns:c16="http://schemas.microsoft.com/office/drawing/2014/chart" uri="{C3380CC4-5D6E-409C-BE32-E72D297353CC}">
              <c16:uniqueId val="{00000004-96FB-AA4A-8AD8-2F2CA9465A5C}"/>
            </c:ext>
          </c:extLst>
        </c:ser>
        <c:dLbls>
          <c:showLegendKey val="0"/>
          <c:showVal val="1"/>
          <c:showCatName val="0"/>
          <c:showSerName val="0"/>
          <c:showPercent val="0"/>
          <c:showBubbleSize val="0"/>
        </c:dLbls>
        <c:gapWidth val="55"/>
        <c:overlap val="100"/>
        <c:axId val="146835328"/>
        <c:axId val="146836864"/>
      </c:barChart>
      <c:scatterChart>
        <c:scatterStyle val="lineMarker"/>
        <c:varyColors val="0"/>
        <c:ser>
          <c:idx val="5"/>
          <c:order val="5"/>
          <c:tx>
            <c:strRef>
              <c:f>'4. Analyse'!$B$46</c:f>
              <c:strCache>
                <c:ptCount val="1"/>
                <c:pt idx="0">
                  <c:v>Totale kosten voor looptijd</c:v>
                </c:pt>
              </c:strCache>
            </c:strRef>
          </c:tx>
          <c:spPr>
            <a:ln w="25400" cap="rnd">
              <a:noFill/>
              <a:round/>
            </a:ln>
            <a:effectLst/>
          </c:spPr>
          <c:marker>
            <c:symbol val="circle"/>
            <c:size val="5"/>
            <c:spPr>
              <a:solidFill>
                <a:schemeClr val="accent6"/>
              </a:solidFill>
              <a:ln w="9525">
                <a:solidFill>
                  <a:schemeClr val="accent6"/>
                </a:solidFill>
              </a:ln>
              <a:effectLst/>
            </c:spPr>
          </c:marker>
          <c:dLbls>
            <c:dLbl>
              <c:idx val="0"/>
              <c:layout>
                <c:manualLayout>
                  <c:x val="-4.7851858461035145E-2"/>
                  <c:y val="-4.032258064516131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FB-AA4A-8AD8-2F2CA9465A5C}"/>
                </c:ext>
              </c:extLst>
            </c:dLbl>
            <c:dLbl>
              <c:idx val="1"/>
              <c:layout>
                <c:manualLayout>
                  <c:x val="-4.7851635401099012E-2"/>
                  <c:y val="-4.5698818897637793E-2"/>
                </c:manualLayout>
              </c:layout>
              <c:numFmt formatCode="&quot;€&quot;\ #,##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r"/>
              <c:showLegendKey val="0"/>
              <c:showVal val="1"/>
              <c:showCatName val="0"/>
              <c:showSerName val="0"/>
              <c:showPercent val="0"/>
              <c:showBubbleSize val="0"/>
              <c:extLst>
                <c:ext xmlns:c15="http://schemas.microsoft.com/office/drawing/2012/chart" uri="{CE6537A1-D6FC-4f65-9D91-7224C49458BB}">
                  <c15:layout>
                    <c:manualLayout>
                      <c:w val="7.4929252823567008E-2"/>
                      <c:h val="4.8346880027093378E-2"/>
                    </c:manualLayout>
                  </c15:layout>
                </c:ext>
                <c:ext xmlns:c16="http://schemas.microsoft.com/office/drawing/2014/chart" uri="{C3380CC4-5D6E-409C-BE32-E72D297353CC}">
                  <c16:uniqueId val="{00000006-96FB-AA4A-8AD8-2F2CA9465A5C}"/>
                </c:ext>
              </c:extLst>
            </c:dLbl>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yVal>
            <c:numRef>
              <c:f>'4. Analyse'!$F$46:$G$46</c:f>
              <c:numCache>
                <c:formatCode>_("€"\ * #,##0_);_("€"\ * \(#,##0\);_("€"\ * "-"??_);_(@_)</c:formatCode>
                <c:ptCount val="2"/>
                <c:pt idx="0">
                  <c:v>0</c:v>
                </c:pt>
                <c:pt idx="1">
                  <c:v>0</c:v>
                </c:pt>
              </c:numCache>
            </c:numRef>
          </c:yVal>
          <c:smooth val="0"/>
          <c:extLst>
            <c:ext xmlns:c16="http://schemas.microsoft.com/office/drawing/2014/chart" uri="{C3380CC4-5D6E-409C-BE32-E72D297353CC}">
              <c16:uniqueId val="{00000007-96FB-AA4A-8AD8-2F2CA9465A5C}"/>
            </c:ext>
          </c:extLst>
        </c:ser>
        <c:dLbls>
          <c:showLegendKey val="0"/>
          <c:showVal val="0"/>
          <c:showCatName val="0"/>
          <c:showSerName val="0"/>
          <c:showPercent val="0"/>
          <c:showBubbleSize val="0"/>
        </c:dLbls>
        <c:axId val="146835328"/>
        <c:axId val="146836864"/>
      </c:scatterChart>
      <c:catAx>
        <c:axId val="14683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6836864"/>
        <c:crosses val="autoZero"/>
        <c:auto val="1"/>
        <c:lblAlgn val="ctr"/>
        <c:lblOffset val="100"/>
        <c:noMultiLvlLbl val="0"/>
      </c:catAx>
      <c:valAx>
        <c:axId val="146836864"/>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835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a:t>Restwaarde</a:t>
            </a:r>
            <a:r>
              <a:rPr lang="nl-NL" baseline="0"/>
              <a:t> grafiek</a:t>
            </a:r>
            <a:endParaRPr lang="nl-N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wer"/>
            <c:dispRSqr val="0"/>
            <c:dispEq val="1"/>
            <c:trendlineLbl>
              <c:layout>
                <c:manualLayout>
                  <c:x val="-7.6328329450173107E-2"/>
                  <c:y val="-0.3063202853856624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trendlineLbl>
          </c:trendline>
          <c:xVal>
            <c:numRef>
              <c:f>Parameters!$A$62:$A$71</c:f>
              <c:numCache>
                <c:formatCode>General</c:formatCode>
                <c:ptCount val="10"/>
                <c:pt idx="0">
                  <c:v>1</c:v>
                </c:pt>
                <c:pt idx="1">
                  <c:v>2</c:v>
                </c:pt>
                <c:pt idx="2">
                  <c:v>3</c:v>
                </c:pt>
                <c:pt idx="3">
                  <c:v>4</c:v>
                </c:pt>
                <c:pt idx="4">
                  <c:v>5</c:v>
                </c:pt>
                <c:pt idx="5">
                  <c:v>6</c:v>
                </c:pt>
                <c:pt idx="6">
                  <c:v>7</c:v>
                </c:pt>
                <c:pt idx="7">
                  <c:v>8</c:v>
                </c:pt>
                <c:pt idx="8">
                  <c:v>9</c:v>
                </c:pt>
                <c:pt idx="9">
                  <c:v>10</c:v>
                </c:pt>
              </c:numCache>
            </c:numRef>
          </c:xVal>
          <c:yVal>
            <c:numRef>
              <c:f>Parameters!$B$62:$B$71</c:f>
              <c:numCache>
                <c:formatCode>0%</c:formatCode>
                <c:ptCount val="10"/>
                <c:pt idx="0">
                  <c:v>0.8</c:v>
                </c:pt>
                <c:pt idx="1">
                  <c:v>0.52452080568625881</c:v>
                </c:pt>
                <c:pt idx="2">
                  <c:v>0.40975394437291829</c:v>
                </c:pt>
                <c:pt idx="3">
                  <c:v>0.34390259449720262</c:v>
                </c:pt>
                <c:pt idx="4">
                  <c:v>0.3</c:v>
                </c:pt>
                <c:pt idx="5">
                  <c:v>0.26865558629450698</c:v>
                </c:pt>
                <c:pt idx="6">
                  <c:v>0.24458244413244112</c:v>
                </c:pt>
                <c:pt idx="7">
                  <c:v>0.22548008242908435</c:v>
                </c:pt>
                <c:pt idx="8">
                  <c:v>0.20987286866145577</c:v>
                </c:pt>
                <c:pt idx="9">
                  <c:v>0.19682940833181017</c:v>
                </c:pt>
              </c:numCache>
            </c:numRef>
          </c:yVal>
          <c:smooth val="0"/>
          <c:extLst>
            <c:ext xmlns:c16="http://schemas.microsoft.com/office/drawing/2014/chart" uri="{C3380CC4-5D6E-409C-BE32-E72D297353CC}">
              <c16:uniqueId val="{00000000-28C4-4F48-A676-6CC1FF50512E}"/>
            </c:ext>
          </c:extLst>
        </c:ser>
        <c:dLbls>
          <c:showLegendKey val="0"/>
          <c:showVal val="0"/>
          <c:showCatName val="0"/>
          <c:showSerName val="0"/>
          <c:showPercent val="0"/>
          <c:showBubbleSize val="0"/>
        </c:dLbls>
        <c:axId val="147458304"/>
        <c:axId val="147460096"/>
      </c:scatterChart>
      <c:valAx>
        <c:axId val="147458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7460096"/>
        <c:crosses val="autoZero"/>
        <c:crossBetween val="midCat"/>
      </c:valAx>
      <c:valAx>
        <c:axId val="14746009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745830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Corbel" panose="020B0503020204020204" pitchFamily="34" charset="0"/>
                <a:ea typeface="+mn-ea"/>
                <a:cs typeface="+mn-cs"/>
              </a:defRPr>
            </a:pPr>
            <a:r>
              <a:rPr lang="en-US" sz="1600" b="1">
                <a:solidFill>
                  <a:srgbClr val="4B575F"/>
                </a:solidFill>
                <a:latin typeface="Corbel" panose="020B0503020204020204" pitchFamily="34" charset="0"/>
              </a:rPr>
              <a:t>Kilometrage</a:t>
            </a:r>
            <a:r>
              <a:rPr lang="en-US" sz="1600" b="1">
                <a:latin typeface="Corbel" panose="020B0503020204020204" pitchFamily="34" charset="0"/>
              </a:rPr>
              <a:t> benzine</a:t>
            </a:r>
            <a:r>
              <a:rPr lang="en-US" sz="1600" b="1" baseline="0">
                <a:latin typeface="Corbel" panose="020B0503020204020204" pitchFamily="34" charset="0"/>
              </a:rPr>
              <a:t> voertuigen</a:t>
            </a:r>
            <a:endParaRPr lang="en-US" sz="1600" b="1">
              <a:latin typeface="Corbel" panose="020B0503020204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Corbel" panose="020B0503020204020204" pitchFamily="34" charset="0"/>
              <a:ea typeface="+mn-ea"/>
              <a:cs typeface="+mn-cs"/>
            </a:defRPr>
          </a:pPr>
          <a:endParaRPr lang="nl-NL"/>
        </a:p>
      </c:txPr>
    </c:title>
    <c:autoTitleDeleted val="0"/>
    <c:plotArea>
      <c:layout/>
      <c:barChart>
        <c:barDir val="col"/>
        <c:grouping val="clustered"/>
        <c:varyColors val="0"/>
        <c:ser>
          <c:idx val="1"/>
          <c:order val="0"/>
          <c:tx>
            <c:strRef>
              <c:f>'1. Invoer wagenpark'!$D$3</c:f>
              <c:strCache>
                <c:ptCount val="1"/>
                <c:pt idx="0">
                  <c:v>0 tot 10.000km</c:v>
                </c:pt>
              </c:strCache>
            </c:strRef>
          </c:tx>
          <c:spPr>
            <a:solidFill>
              <a:srgbClr val="426AC7"/>
            </a:solidFill>
            <a:ln>
              <a:noFill/>
            </a:ln>
            <a:effectLst/>
          </c:spPr>
          <c:invertIfNegative val="0"/>
          <c:cat>
            <c:strRef>
              <c:f>'1. Invoer wagenpark'!$B$4:$B$11</c:f>
              <c:strCache>
                <c:ptCount val="8"/>
                <c:pt idx="0">
                  <c:v>A</c:v>
                </c:pt>
                <c:pt idx="1">
                  <c:v>B</c:v>
                </c:pt>
                <c:pt idx="2">
                  <c:v>C</c:v>
                </c:pt>
                <c:pt idx="3">
                  <c:v>D</c:v>
                </c:pt>
                <c:pt idx="4">
                  <c:v>E</c:v>
                </c:pt>
                <c:pt idx="5">
                  <c:v>F</c:v>
                </c:pt>
                <c:pt idx="6">
                  <c:v>L</c:v>
                </c:pt>
                <c:pt idx="7">
                  <c:v>M</c:v>
                </c:pt>
              </c:strCache>
            </c:strRef>
          </c:cat>
          <c:val>
            <c:numRef>
              <c:f>'1. Invoer wagenpark'!$D$4:$D$11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A7AA-8F4F-9C25-C90159F9B49B}"/>
            </c:ext>
          </c:extLst>
        </c:ser>
        <c:ser>
          <c:idx val="2"/>
          <c:order val="1"/>
          <c:tx>
            <c:strRef>
              <c:f>'1. Invoer wagenpark'!$E$3</c:f>
              <c:strCache>
                <c:ptCount val="1"/>
                <c:pt idx="0">
                  <c:v>10.000 tot 20.000km</c:v>
                </c:pt>
              </c:strCache>
            </c:strRef>
          </c:tx>
          <c:spPr>
            <a:solidFill>
              <a:srgbClr val="FE7500"/>
            </a:solidFill>
            <a:ln>
              <a:noFill/>
            </a:ln>
            <a:effectLst/>
          </c:spPr>
          <c:invertIfNegative val="0"/>
          <c:cat>
            <c:strRef>
              <c:f>'1. Invoer wagenpark'!$B$4:$B$11</c:f>
              <c:strCache>
                <c:ptCount val="8"/>
                <c:pt idx="0">
                  <c:v>A</c:v>
                </c:pt>
                <c:pt idx="1">
                  <c:v>B</c:v>
                </c:pt>
                <c:pt idx="2">
                  <c:v>C</c:v>
                </c:pt>
                <c:pt idx="3">
                  <c:v>D</c:v>
                </c:pt>
                <c:pt idx="4">
                  <c:v>E</c:v>
                </c:pt>
                <c:pt idx="5">
                  <c:v>F</c:v>
                </c:pt>
                <c:pt idx="6">
                  <c:v>L</c:v>
                </c:pt>
                <c:pt idx="7">
                  <c:v>M</c:v>
                </c:pt>
              </c:strCache>
            </c:strRef>
          </c:cat>
          <c:val>
            <c:numRef>
              <c:f>'1. Invoer wagenpark'!$E$4:$E$11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A7AA-8F4F-9C25-C90159F9B49B}"/>
            </c:ext>
          </c:extLst>
        </c:ser>
        <c:ser>
          <c:idx val="3"/>
          <c:order val="2"/>
          <c:tx>
            <c:strRef>
              <c:f>'1. Invoer wagenpark'!$F$3</c:f>
              <c:strCache>
                <c:ptCount val="1"/>
                <c:pt idx="0">
                  <c:v>20.000 tot 30.000km</c:v>
                </c:pt>
              </c:strCache>
            </c:strRef>
          </c:tx>
          <c:spPr>
            <a:solidFill>
              <a:srgbClr val="A5A5A5"/>
            </a:solidFill>
            <a:ln>
              <a:noFill/>
            </a:ln>
            <a:effectLst/>
          </c:spPr>
          <c:invertIfNegative val="0"/>
          <c:cat>
            <c:strRef>
              <c:f>'1. Invoer wagenpark'!$B$4:$B$11</c:f>
              <c:strCache>
                <c:ptCount val="8"/>
                <c:pt idx="0">
                  <c:v>A</c:v>
                </c:pt>
                <c:pt idx="1">
                  <c:v>B</c:v>
                </c:pt>
                <c:pt idx="2">
                  <c:v>C</c:v>
                </c:pt>
                <c:pt idx="3">
                  <c:v>D</c:v>
                </c:pt>
                <c:pt idx="4">
                  <c:v>E</c:v>
                </c:pt>
                <c:pt idx="5">
                  <c:v>F</c:v>
                </c:pt>
                <c:pt idx="6">
                  <c:v>L</c:v>
                </c:pt>
                <c:pt idx="7">
                  <c:v>M</c:v>
                </c:pt>
              </c:strCache>
            </c:strRef>
          </c:cat>
          <c:val>
            <c:numRef>
              <c:f>'1. Invoer wagenpark'!$F$4:$F$11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A7AA-8F4F-9C25-C90159F9B49B}"/>
            </c:ext>
          </c:extLst>
        </c:ser>
        <c:ser>
          <c:idx val="4"/>
          <c:order val="3"/>
          <c:tx>
            <c:strRef>
              <c:f>'1. Invoer wagenpark'!$G$3</c:f>
              <c:strCache>
                <c:ptCount val="1"/>
                <c:pt idx="0">
                  <c:v>meer dan 30.000km</c:v>
                </c:pt>
              </c:strCache>
            </c:strRef>
          </c:tx>
          <c:spPr>
            <a:solidFill>
              <a:srgbClr val="FFC200"/>
            </a:solidFill>
            <a:ln>
              <a:noFill/>
            </a:ln>
            <a:effectLst/>
          </c:spPr>
          <c:invertIfNegative val="0"/>
          <c:cat>
            <c:strRef>
              <c:f>'1. Invoer wagenpark'!$B$4:$B$11</c:f>
              <c:strCache>
                <c:ptCount val="8"/>
                <c:pt idx="0">
                  <c:v>A</c:v>
                </c:pt>
                <c:pt idx="1">
                  <c:v>B</c:v>
                </c:pt>
                <c:pt idx="2">
                  <c:v>C</c:v>
                </c:pt>
                <c:pt idx="3">
                  <c:v>D</c:v>
                </c:pt>
                <c:pt idx="4">
                  <c:v>E</c:v>
                </c:pt>
                <c:pt idx="5">
                  <c:v>F</c:v>
                </c:pt>
                <c:pt idx="6">
                  <c:v>L</c:v>
                </c:pt>
                <c:pt idx="7">
                  <c:v>M</c:v>
                </c:pt>
              </c:strCache>
            </c:strRef>
          </c:cat>
          <c:val>
            <c:numRef>
              <c:f>'1. Invoer wagenpark'!$G$4:$G$11</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DFEC-2141-A5CB-89084CA18A83}"/>
            </c:ext>
          </c:extLst>
        </c:ser>
        <c:dLbls>
          <c:showLegendKey val="0"/>
          <c:showVal val="0"/>
          <c:showCatName val="0"/>
          <c:showSerName val="0"/>
          <c:showPercent val="0"/>
          <c:showBubbleSize val="0"/>
        </c:dLbls>
        <c:gapWidth val="150"/>
        <c:axId val="145172736"/>
        <c:axId val="145174912"/>
      </c:barChart>
      <c:catAx>
        <c:axId val="145172736"/>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1" i="0" baseline="0">
                    <a:effectLst/>
                  </a:rPr>
                  <a:t>Voertuigsegment</a:t>
                </a:r>
                <a:endParaRPr lang="en-US" sz="1200">
                  <a:effectLst/>
                </a:endParaRP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174912"/>
        <c:crosses val="autoZero"/>
        <c:auto val="1"/>
        <c:lblAlgn val="ctr"/>
        <c:lblOffset val="100"/>
        <c:noMultiLvlLbl val="0"/>
      </c:catAx>
      <c:valAx>
        <c:axId val="14517491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Aantal</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172736"/>
        <c:crosses val="autoZero"/>
        <c:crossBetween val="between"/>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Corbel" panose="020B0503020204020204" pitchFamily="34" charset="0"/>
                <a:ea typeface="+mn-ea"/>
                <a:cs typeface="+mn-cs"/>
              </a:defRPr>
            </a:pPr>
            <a:r>
              <a:rPr lang="en-US" sz="1600" b="1">
                <a:latin typeface="Corbel" panose="020B0503020204020204" pitchFamily="34" charset="0"/>
              </a:rPr>
              <a:t>Kilometrage diesel</a:t>
            </a:r>
            <a:r>
              <a:rPr lang="en-US" sz="1600" b="1" baseline="0">
                <a:latin typeface="Corbel" panose="020B0503020204020204" pitchFamily="34" charset="0"/>
              </a:rPr>
              <a:t> voertuigen</a:t>
            </a:r>
            <a:endParaRPr lang="en-US" sz="1600" b="1">
              <a:latin typeface="Corbel" panose="020B0503020204020204" pitchFamily="34" charset="0"/>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Corbel" panose="020B0503020204020204" pitchFamily="34" charset="0"/>
              <a:ea typeface="+mn-ea"/>
              <a:cs typeface="+mn-cs"/>
            </a:defRPr>
          </a:pPr>
          <a:endParaRPr lang="nl-NL"/>
        </a:p>
      </c:txPr>
    </c:title>
    <c:autoTitleDeleted val="0"/>
    <c:plotArea>
      <c:layout/>
      <c:barChart>
        <c:barDir val="col"/>
        <c:grouping val="clustered"/>
        <c:varyColors val="0"/>
        <c:ser>
          <c:idx val="0"/>
          <c:order val="0"/>
          <c:tx>
            <c:strRef>
              <c:f>'1. Invoer wagenpark'!$H$3</c:f>
              <c:strCache>
                <c:ptCount val="1"/>
                <c:pt idx="0">
                  <c:v>0 tot 10.000km</c:v>
                </c:pt>
              </c:strCache>
            </c:strRef>
          </c:tx>
          <c:spPr>
            <a:solidFill>
              <a:schemeClr val="accent1"/>
            </a:solidFill>
            <a:ln>
              <a:noFill/>
            </a:ln>
            <a:effectLst/>
          </c:spPr>
          <c:invertIfNegative val="0"/>
          <c:cat>
            <c:strRef>
              <c:f>'1. Invoer wagenpark'!$B$5:$B$15</c:f>
              <c:strCache>
                <c:ptCount val="11"/>
                <c:pt idx="0">
                  <c:v>B</c:v>
                </c:pt>
                <c:pt idx="1">
                  <c:v>C</c:v>
                </c:pt>
                <c:pt idx="2">
                  <c:v>D</c:v>
                </c:pt>
                <c:pt idx="3">
                  <c:v>E</c:v>
                </c:pt>
                <c:pt idx="4">
                  <c:v>F</c:v>
                </c:pt>
                <c:pt idx="5">
                  <c:v>L</c:v>
                </c:pt>
                <c:pt idx="6">
                  <c:v>M</c:v>
                </c:pt>
                <c:pt idx="8">
                  <c:v>Bestelbus klein</c:v>
                </c:pt>
                <c:pt idx="9">
                  <c:v>Bestelbus middel</c:v>
                </c:pt>
                <c:pt idx="10">
                  <c:v>Bestelbus groot</c:v>
                </c:pt>
              </c:strCache>
            </c:strRef>
          </c:cat>
          <c:val>
            <c:numRef>
              <c:f>'1. Invoer wagenpark'!$H$5:$H$15</c:f>
              <c:numCache>
                <c:formatCode>General</c:formatCode>
                <c:ptCount val="11"/>
                <c:pt idx="0">
                  <c:v>0</c:v>
                </c:pt>
                <c:pt idx="1">
                  <c:v>0</c:v>
                </c:pt>
                <c:pt idx="2">
                  <c:v>0</c:v>
                </c:pt>
                <c:pt idx="3">
                  <c:v>0</c:v>
                </c:pt>
                <c:pt idx="4">
                  <c:v>0</c:v>
                </c:pt>
                <c:pt idx="5">
                  <c:v>0</c:v>
                </c:pt>
                <c:pt idx="6">
                  <c:v>0</c:v>
                </c:pt>
                <c:pt idx="8">
                  <c:v>0</c:v>
                </c:pt>
                <c:pt idx="9">
                  <c:v>0</c:v>
                </c:pt>
                <c:pt idx="10">
                  <c:v>0</c:v>
                </c:pt>
              </c:numCache>
            </c:numRef>
          </c:val>
          <c:extLst>
            <c:ext xmlns:c16="http://schemas.microsoft.com/office/drawing/2014/chart" uri="{C3380CC4-5D6E-409C-BE32-E72D297353CC}">
              <c16:uniqueId val="{00000000-45A2-C34A-A756-252EA05C13EA}"/>
            </c:ext>
          </c:extLst>
        </c:ser>
        <c:ser>
          <c:idx val="1"/>
          <c:order val="1"/>
          <c:tx>
            <c:strRef>
              <c:f>'1. Invoer wagenpark'!$I$3</c:f>
              <c:strCache>
                <c:ptCount val="1"/>
                <c:pt idx="0">
                  <c:v>10.000 tot 20.000km</c:v>
                </c:pt>
              </c:strCache>
            </c:strRef>
          </c:tx>
          <c:spPr>
            <a:solidFill>
              <a:schemeClr val="accent2"/>
            </a:solidFill>
            <a:ln>
              <a:noFill/>
            </a:ln>
            <a:effectLst/>
          </c:spPr>
          <c:invertIfNegative val="0"/>
          <c:cat>
            <c:strRef>
              <c:f>'1. Invoer wagenpark'!$B$5:$B$15</c:f>
              <c:strCache>
                <c:ptCount val="11"/>
                <c:pt idx="0">
                  <c:v>B</c:v>
                </c:pt>
                <c:pt idx="1">
                  <c:v>C</c:v>
                </c:pt>
                <c:pt idx="2">
                  <c:v>D</c:v>
                </c:pt>
                <c:pt idx="3">
                  <c:v>E</c:v>
                </c:pt>
                <c:pt idx="4">
                  <c:v>F</c:v>
                </c:pt>
                <c:pt idx="5">
                  <c:v>L</c:v>
                </c:pt>
                <c:pt idx="6">
                  <c:v>M</c:v>
                </c:pt>
                <c:pt idx="8">
                  <c:v>Bestelbus klein</c:v>
                </c:pt>
                <c:pt idx="9">
                  <c:v>Bestelbus middel</c:v>
                </c:pt>
                <c:pt idx="10">
                  <c:v>Bestelbus groot</c:v>
                </c:pt>
              </c:strCache>
            </c:strRef>
          </c:cat>
          <c:val>
            <c:numRef>
              <c:f>'1. Invoer wagenpark'!$I$5:$I$15</c:f>
              <c:numCache>
                <c:formatCode>General</c:formatCode>
                <c:ptCount val="11"/>
                <c:pt idx="0">
                  <c:v>0</c:v>
                </c:pt>
                <c:pt idx="1">
                  <c:v>0</c:v>
                </c:pt>
                <c:pt idx="2">
                  <c:v>0</c:v>
                </c:pt>
                <c:pt idx="3">
                  <c:v>0</c:v>
                </c:pt>
                <c:pt idx="4">
                  <c:v>0</c:v>
                </c:pt>
                <c:pt idx="5">
                  <c:v>0</c:v>
                </c:pt>
                <c:pt idx="6">
                  <c:v>0</c:v>
                </c:pt>
                <c:pt idx="8">
                  <c:v>0</c:v>
                </c:pt>
                <c:pt idx="9">
                  <c:v>0</c:v>
                </c:pt>
                <c:pt idx="10">
                  <c:v>0</c:v>
                </c:pt>
              </c:numCache>
            </c:numRef>
          </c:val>
          <c:extLst>
            <c:ext xmlns:c16="http://schemas.microsoft.com/office/drawing/2014/chart" uri="{C3380CC4-5D6E-409C-BE32-E72D297353CC}">
              <c16:uniqueId val="{00000001-45A2-C34A-A756-252EA05C13EA}"/>
            </c:ext>
          </c:extLst>
        </c:ser>
        <c:ser>
          <c:idx val="2"/>
          <c:order val="2"/>
          <c:tx>
            <c:strRef>
              <c:f>'1. Invoer wagenpark'!$J$3</c:f>
              <c:strCache>
                <c:ptCount val="1"/>
                <c:pt idx="0">
                  <c:v>20.000 tot 30.000km</c:v>
                </c:pt>
              </c:strCache>
            </c:strRef>
          </c:tx>
          <c:spPr>
            <a:solidFill>
              <a:schemeClr val="accent3"/>
            </a:solidFill>
            <a:ln>
              <a:noFill/>
            </a:ln>
            <a:effectLst/>
          </c:spPr>
          <c:invertIfNegative val="0"/>
          <c:cat>
            <c:strRef>
              <c:f>'1. Invoer wagenpark'!$B$5:$B$15</c:f>
              <c:strCache>
                <c:ptCount val="11"/>
                <c:pt idx="0">
                  <c:v>B</c:v>
                </c:pt>
                <c:pt idx="1">
                  <c:v>C</c:v>
                </c:pt>
                <c:pt idx="2">
                  <c:v>D</c:v>
                </c:pt>
                <c:pt idx="3">
                  <c:v>E</c:v>
                </c:pt>
                <c:pt idx="4">
                  <c:v>F</c:v>
                </c:pt>
                <c:pt idx="5">
                  <c:v>L</c:v>
                </c:pt>
                <c:pt idx="6">
                  <c:v>M</c:v>
                </c:pt>
                <c:pt idx="8">
                  <c:v>Bestelbus klein</c:v>
                </c:pt>
                <c:pt idx="9">
                  <c:v>Bestelbus middel</c:v>
                </c:pt>
                <c:pt idx="10">
                  <c:v>Bestelbus groot</c:v>
                </c:pt>
              </c:strCache>
            </c:strRef>
          </c:cat>
          <c:val>
            <c:numRef>
              <c:f>'1. Invoer wagenpark'!$J$5:$J$15</c:f>
              <c:numCache>
                <c:formatCode>General</c:formatCode>
                <c:ptCount val="11"/>
                <c:pt idx="0">
                  <c:v>0</c:v>
                </c:pt>
                <c:pt idx="1">
                  <c:v>0</c:v>
                </c:pt>
                <c:pt idx="2">
                  <c:v>0</c:v>
                </c:pt>
                <c:pt idx="3">
                  <c:v>0</c:v>
                </c:pt>
                <c:pt idx="4">
                  <c:v>0</c:v>
                </c:pt>
                <c:pt idx="5">
                  <c:v>0</c:v>
                </c:pt>
                <c:pt idx="6">
                  <c:v>0</c:v>
                </c:pt>
                <c:pt idx="8">
                  <c:v>0</c:v>
                </c:pt>
                <c:pt idx="9">
                  <c:v>0</c:v>
                </c:pt>
                <c:pt idx="10">
                  <c:v>0</c:v>
                </c:pt>
              </c:numCache>
            </c:numRef>
          </c:val>
          <c:extLst>
            <c:ext xmlns:c16="http://schemas.microsoft.com/office/drawing/2014/chart" uri="{C3380CC4-5D6E-409C-BE32-E72D297353CC}">
              <c16:uniqueId val="{00000002-45A2-C34A-A756-252EA05C13EA}"/>
            </c:ext>
          </c:extLst>
        </c:ser>
        <c:ser>
          <c:idx val="3"/>
          <c:order val="3"/>
          <c:tx>
            <c:strRef>
              <c:f>'1. Invoer wagenpark'!$K$3</c:f>
              <c:strCache>
                <c:ptCount val="1"/>
                <c:pt idx="0">
                  <c:v>meer dan 30.000km</c:v>
                </c:pt>
              </c:strCache>
            </c:strRef>
          </c:tx>
          <c:spPr>
            <a:solidFill>
              <a:schemeClr val="accent4"/>
            </a:solidFill>
            <a:ln>
              <a:noFill/>
            </a:ln>
            <a:effectLst/>
          </c:spPr>
          <c:invertIfNegative val="0"/>
          <c:cat>
            <c:strRef>
              <c:f>'1. Invoer wagenpark'!$B$5:$B$15</c:f>
              <c:strCache>
                <c:ptCount val="11"/>
                <c:pt idx="0">
                  <c:v>B</c:v>
                </c:pt>
                <c:pt idx="1">
                  <c:v>C</c:v>
                </c:pt>
                <c:pt idx="2">
                  <c:v>D</c:v>
                </c:pt>
                <c:pt idx="3">
                  <c:v>E</c:v>
                </c:pt>
                <c:pt idx="4">
                  <c:v>F</c:v>
                </c:pt>
                <c:pt idx="5">
                  <c:v>L</c:v>
                </c:pt>
                <c:pt idx="6">
                  <c:v>M</c:v>
                </c:pt>
                <c:pt idx="8">
                  <c:v>Bestelbus klein</c:v>
                </c:pt>
                <c:pt idx="9">
                  <c:v>Bestelbus middel</c:v>
                </c:pt>
                <c:pt idx="10">
                  <c:v>Bestelbus groot</c:v>
                </c:pt>
              </c:strCache>
            </c:strRef>
          </c:cat>
          <c:val>
            <c:numRef>
              <c:f>'1. Invoer wagenpark'!$K$5:$K$15</c:f>
              <c:numCache>
                <c:formatCode>General</c:formatCode>
                <c:ptCount val="11"/>
                <c:pt idx="0">
                  <c:v>0</c:v>
                </c:pt>
                <c:pt idx="1">
                  <c:v>0</c:v>
                </c:pt>
                <c:pt idx="2">
                  <c:v>0</c:v>
                </c:pt>
                <c:pt idx="3">
                  <c:v>0</c:v>
                </c:pt>
                <c:pt idx="4">
                  <c:v>0</c:v>
                </c:pt>
                <c:pt idx="5">
                  <c:v>0</c:v>
                </c:pt>
                <c:pt idx="6">
                  <c:v>0</c:v>
                </c:pt>
                <c:pt idx="8">
                  <c:v>0</c:v>
                </c:pt>
                <c:pt idx="9">
                  <c:v>0</c:v>
                </c:pt>
                <c:pt idx="10">
                  <c:v>0</c:v>
                </c:pt>
              </c:numCache>
            </c:numRef>
          </c:val>
          <c:extLst>
            <c:ext xmlns:c16="http://schemas.microsoft.com/office/drawing/2014/chart" uri="{C3380CC4-5D6E-409C-BE32-E72D297353CC}">
              <c16:uniqueId val="{00000003-45A2-C34A-A756-252EA05C13EA}"/>
            </c:ext>
          </c:extLst>
        </c:ser>
        <c:dLbls>
          <c:showLegendKey val="0"/>
          <c:showVal val="0"/>
          <c:showCatName val="0"/>
          <c:showSerName val="0"/>
          <c:showPercent val="0"/>
          <c:showBubbleSize val="0"/>
        </c:dLbls>
        <c:gapWidth val="150"/>
        <c:axId val="145196160"/>
        <c:axId val="145198080"/>
      </c:barChart>
      <c:catAx>
        <c:axId val="145196160"/>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1" i="0" baseline="0">
                    <a:effectLst/>
                  </a:rPr>
                  <a:t>Voertuigsegment</a:t>
                </a:r>
                <a:endParaRPr lang="en-US" sz="1200">
                  <a:effectLst/>
                </a:endParaRP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198080"/>
        <c:crosses val="autoZero"/>
        <c:auto val="1"/>
        <c:lblAlgn val="ctr"/>
        <c:lblOffset val="100"/>
        <c:noMultiLvlLbl val="0"/>
      </c:catAx>
      <c:valAx>
        <c:axId val="14519808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r>
                  <a:rPr lang="en-US" sz="1400" b="1"/>
                  <a:t>Aantal</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nl-NL"/>
            </a:p>
          </c:txPr>
        </c:title>
        <c:numFmt formatCode="#,##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196160"/>
        <c:crosses val="autoZero"/>
        <c:crossBetween val="between"/>
        <c:majorUnit val="1"/>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Volledig wagenpark</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0"/>
          <c:order val="0"/>
          <c:tx>
            <c:strRef>
              <c:f>'4. Analyse'!$B$19</c:f>
              <c:strCache>
                <c:ptCount val="1"/>
                <c:pt idx="0">
                  <c:v>Netto prijs excl. BTW en BPM</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Analyse'!$C$18:$D$18</c:f>
              <c:strCache>
                <c:ptCount val="2"/>
                <c:pt idx="0">
                  <c:v>Huidig</c:v>
                </c:pt>
                <c:pt idx="1">
                  <c:v>Elektrisch</c:v>
                </c:pt>
              </c:strCache>
            </c:strRef>
          </c:cat>
          <c:val>
            <c:numRef>
              <c:f>'4. Analyse'!$C$19:$D$19</c:f>
              <c:numCache>
                <c:formatCode>_("€"\ * #,##0_);_("€"\ * \(#,##0\);_("€"\ * "-"??_);_(@_)</c:formatCode>
                <c:ptCount val="2"/>
                <c:pt idx="0">
                  <c:v>0</c:v>
                </c:pt>
                <c:pt idx="1">
                  <c:v>0</c:v>
                </c:pt>
              </c:numCache>
            </c:numRef>
          </c:val>
          <c:extLst>
            <c:ext xmlns:c16="http://schemas.microsoft.com/office/drawing/2014/chart" uri="{C3380CC4-5D6E-409C-BE32-E72D297353CC}">
              <c16:uniqueId val="{00000000-FFAE-ED41-9EA2-1A0EE8397C2D}"/>
            </c:ext>
          </c:extLst>
        </c:ser>
        <c:ser>
          <c:idx val="1"/>
          <c:order val="1"/>
          <c:tx>
            <c:strRef>
              <c:f>'4. Analyse'!$B$20</c:f>
              <c:strCache>
                <c:ptCount val="1"/>
                <c:pt idx="0">
                  <c:v>BTW</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Analyse'!$C$18:$D$18</c:f>
              <c:strCache>
                <c:ptCount val="2"/>
                <c:pt idx="0">
                  <c:v>Huidig</c:v>
                </c:pt>
                <c:pt idx="1">
                  <c:v>Elektrisch</c:v>
                </c:pt>
              </c:strCache>
            </c:strRef>
          </c:cat>
          <c:val>
            <c:numRef>
              <c:f>'4. Analyse'!$C$20:$D$20</c:f>
              <c:numCache>
                <c:formatCode>_("€"\ * #,##0_);_("€"\ * \(#,##0\);_("€"\ * "-"??_);_(@_)</c:formatCode>
                <c:ptCount val="2"/>
                <c:pt idx="0">
                  <c:v>0</c:v>
                </c:pt>
                <c:pt idx="1">
                  <c:v>0</c:v>
                </c:pt>
              </c:numCache>
            </c:numRef>
          </c:val>
          <c:extLst>
            <c:ext xmlns:c16="http://schemas.microsoft.com/office/drawing/2014/chart" uri="{C3380CC4-5D6E-409C-BE32-E72D297353CC}">
              <c16:uniqueId val="{00000001-FFAE-ED41-9EA2-1A0EE8397C2D}"/>
            </c:ext>
          </c:extLst>
        </c:ser>
        <c:ser>
          <c:idx val="2"/>
          <c:order val="2"/>
          <c:tx>
            <c:strRef>
              <c:f>'4. Analyse'!$B$21</c:f>
              <c:strCache>
                <c:ptCount val="1"/>
                <c:pt idx="0">
                  <c:v>BPM</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Analyse'!$C$18:$D$18</c:f>
              <c:strCache>
                <c:ptCount val="2"/>
                <c:pt idx="0">
                  <c:v>Huidig</c:v>
                </c:pt>
                <c:pt idx="1">
                  <c:v>Elektrisch</c:v>
                </c:pt>
              </c:strCache>
            </c:strRef>
          </c:cat>
          <c:val>
            <c:numRef>
              <c:f>'4. Analyse'!$C$21:$D$21</c:f>
              <c:numCache>
                <c:formatCode>_("€"\ * #,##0_);_("€"\ * \(#,##0\);_("€"\ * "-"??_);_(@_)</c:formatCode>
                <c:ptCount val="2"/>
                <c:pt idx="0">
                  <c:v>0</c:v>
                </c:pt>
                <c:pt idx="1">
                  <c:v>0</c:v>
                </c:pt>
              </c:numCache>
            </c:numRef>
          </c:val>
          <c:extLst>
            <c:ext xmlns:c16="http://schemas.microsoft.com/office/drawing/2014/chart" uri="{C3380CC4-5D6E-409C-BE32-E72D297353CC}">
              <c16:uniqueId val="{00000002-FFAE-ED41-9EA2-1A0EE8397C2D}"/>
            </c:ext>
          </c:extLst>
        </c:ser>
        <c:dLbls>
          <c:dLblPos val="ctr"/>
          <c:showLegendKey val="0"/>
          <c:showVal val="1"/>
          <c:showCatName val="0"/>
          <c:showSerName val="0"/>
          <c:showPercent val="0"/>
          <c:showBubbleSize val="0"/>
        </c:dLbls>
        <c:gapWidth val="55"/>
        <c:overlap val="100"/>
        <c:axId val="145698816"/>
        <c:axId val="145700352"/>
      </c:barChart>
      <c:catAx>
        <c:axId val="145698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5700352"/>
        <c:crosses val="autoZero"/>
        <c:auto val="1"/>
        <c:lblAlgn val="ctr"/>
        <c:lblOffset val="100"/>
        <c:noMultiLvlLbl val="0"/>
      </c:catAx>
      <c:valAx>
        <c:axId val="145700352"/>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698816"/>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Gemiddeld per voertuig</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0"/>
          <c:order val="0"/>
          <c:tx>
            <c:strRef>
              <c:f>'4. Analyse'!$B$19</c:f>
              <c:strCache>
                <c:ptCount val="1"/>
                <c:pt idx="0">
                  <c:v>Netto prijs excl. BTW en BPM</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Analyse'!$F$18:$G$18</c:f>
              <c:strCache>
                <c:ptCount val="2"/>
                <c:pt idx="0">
                  <c:v>Huidig</c:v>
                </c:pt>
                <c:pt idx="1">
                  <c:v>Elektrisch</c:v>
                </c:pt>
              </c:strCache>
            </c:strRef>
          </c:cat>
          <c:val>
            <c:numRef>
              <c:f>'4. Analyse'!$F$19:$G$19</c:f>
              <c:numCache>
                <c:formatCode>_("€"\ * #,##0_);_("€"\ * \(#,##0\);_("€"\ * "-"??_);_(@_)</c:formatCode>
                <c:ptCount val="2"/>
                <c:pt idx="0">
                  <c:v>0</c:v>
                </c:pt>
                <c:pt idx="1">
                  <c:v>0</c:v>
                </c:pt>
              </c:numCache>
            </c:numRef>
          </c:val>
          <c:extLst>
            <c:ext xmlns:c16="http://schemas.microsoft.com/office/drawing/2014/chart" uri="{C3380CC4-5D6E-409C-BE32-E72D297353CC}">
              <c16:uniqueId val="{00000000-1D67-7D41-8CF0-C0D80D2706A1}"/>
            </c:ext>
          </c:extLst>
        </c:ser>
        <c:ser>
          <c:idx val="1"/>
          <c:order val="1"/>
          <c:tx>
            <c:strRef>
              <c:f>'4. Analyse'!$B$20</c:f>
              <c:strCache>
                <c:ptCount val="1"/>
                <c:pt idx="0">
                  <c:v>BTW</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Analyse'!$F$18:$G$18</c:f>
              <c:strCache>
                <c:ptCount val="2"/>
                <c:pt idx="0">
                  <c:v>Huidig</c:v>
                </c:pt>
                <c:pt idx="1">
                  <c:v>Elektrisch</c:v>
                </c:pt>
              </c:strCache>
            </c:strRef>
          </c:cat>
          <c:val>
            <c:numRef>
              <c:f>'4. Analyse'!$F$20:$G$20</c:f>
              <c:numCache>
                <c:formatCode>_("€"\ * #,##0_);_("€"\ * \(#,##0\);_("€"\ * "-"??_);_(@_)</c:formatCode>
                <c:ptCount val="2"/>
                <c:pt idx="0">
                  <c:v>0</c:v>
                </c:pt>
                <c:pt idx="1">
                  <c:v>0</c:v>
                </c:pt>
              </c:numCache>
            </c:numRef>
          </c:val>
          <c:extLst>
            <c:ext xmlns:c16="http://schemas.microsoft.com/office/drawing/2014/chart" uri="{C3380CC4-5D6E-409C-BE32-E72D297353CC}">
              <c16:uniqueId val="{00000001-1D67-7D41-8CF0-C0D80D2706A1}"/>
            </c:ext>
          </c:extLst>
        </c:ser>
        <c:ser>
          <c:idx val="2"/>
          <c:order val="2"/>
          <c:tx>
            <c:strRef>
              <c:f>'4. Analyse'!$B$21</c:f>
              <c:strCache>
                <c:ptCount val="1"/>
                <c:pt idx="0">
                  <c:v>BPM</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Analyse'!$F$18:$G$18</c:f>
              <c:strCache>
                <c:ptCount val="2"/>
                <c:pt idx="0">
                  <c:v>Huidig</c:v>
                </c:pt>
                <c:pt idx="1">
                  <c:v>Elektrisch</c:v>
                </c:pt>
              </c:strCache>
            </c:strRef>
          </c:cat>
          <c:val>
            <c:numRef>
              <c:f>'4. Analyse'!$F$21:$G$21</c:f>
              <c:numCache>
                <c:formatCode>_("€"\ * #,##0_);_("€"\ * \(#,##0\);_("€"\ * "-"??_);_(@_)</c:formatCode>
                <c:ptCount val="2"/>
                <c:pt idx="0">
                  <c:v>0</c:v>
                </c:pt>
                <c:pt idx="1">
                  <c:v>0</c:v>
                </c:pt>
              </c:numCache>
            </c:numRef>
          </c:val>
          <c:extLst>
            <c:ext xmlns:c16="http://schemas.microsoft.com/office/drawing/2014/chart" uri="{C3380CC4-5D6E-409C-BE32-E72D297353CC}">
              <c16:uniqueId val="{00000002-1D67-7D41-8CF0-C0D80D2706A1}"/>
            </c:ext>
          </c:extLst>
        </c:ser>
        <c:dLbls>
          <c:dLblPos val="ctr"/>
          <c:showLegendKey val="0"/>
          <c:showVal val="1"/>
          <c:showCatName val="0"/>
          <c:showSerName val="0"/>
          <c:showPercent val="0"/>
          <c:showBubbleSize val="0"/>
        </c:dLbls>
        <c:gapWidth val="55"/>
        <c:overlap val="100"/>
        <c:axId val="145745792"/>
        <c:axId val="145747328"/>
      </c:barChart>
      <c:catAx>
        <c:axId val="145745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5747328"/>
        <c:crosses val="autoZero"/>
        <c:auto val="1"/>
        <c:lblAlgn val="ctr"/>
        <c:lblOffset val="100"/>
        <c:noMultiLvlLbl val="0"/>
      </c:catAx>
      <c:valAx>
        <c:axId val="1457473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57457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Volledig wagenpark</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4"/>
          <c:order val="0"/>
          <c:tx>
            <c:strRef>
              <c:f>'4. Analyse'!$B$36</c:f>
              <c:strCache>
                <c:ptCount val="1"/>
                <c:pt idx="0">
                  <c:v>Energiekosten</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'4. Analyse'!$C$36:$D$36</c:f>
              <c:numCache>
                <c:formatCode>_("€"\ * #,##0_);_("€"\ * \(#,##0\);_("€"\ * "-"??_);_(@_)</c:formatCode>
                <c:ptCount val="2"/>
                <c:pt idx="0">
                  <c:v>0</c:v>
                </c:pt>
                <c:pt idx="1">
                  <c:v>0</c:v>
                </c:pt>
              </c:numCache>
            </c:numRef>
          </c:val>
          <c:extLst>
            <c:ext xmlns:c16="http://schemas.microsoft.com/office/drawing/2014/chart" uri="{C3380CC4-5D6E-409C-BE32-E72D297353CC}">
              <c16:uniqueId val="{00000018-7370-024B-A39E-FA7AE6FF9841}"/>
            </c:ext>
          </c:extLst>
        </c:ser>
        <c:ser>
          <c:idx val="0"/>
          <c:order val="1"/>
          <c:tx>
            <c:strRef>
              <c:f>'4. Analyse'!$B$30</c:f>
              <c:strCache>
                <c:ptCount val="1"/>
                <c:pt idx="0">
                  <c:v>Verzekeringskosten</c:v>
                </c:pt>
              </c:strCache>
            </c:strRef>
          </c:tx>
          <c:spPr>
            <a:solidFill>
              <a:schemeClr val="accent1"/>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Analyse'!$C$30:$D$30</c:f>
              <c:numCache>
                <c:formatCode>_("€"\ * #,##0_);_("€"\ * \(#,##0\);_("€"\ * "-"??_);_(@_)</c:formatCode>
                <c:ptCount val="2"/>
                <c:pt idx="0">
                  <c:v>0</c:v>
                </c:pt>
                <c:pt idx="1">
                  <c:v>0</c:v>
                </c:pt>
              </c:numCache>
            </c:numRef>
          </c:val>
          <c:extLst>
            <c:ext xmlns:c16="http://schemas.microsoft.com/office/drawing/2014/chart" uri="{C3380CC4-5D6E-409C-BE32-E72D297353CC}">
              <c16:uniqueId val="{00000000-7370-024B-A39E-FA7AE6FF9841}"/>
            </c:ext>
          </c:extLst>
        </c:ser>
        <c:ser>
          <c:idx val="2"/>
          <c:order val="2"/>
          <c:tx>
            <c:strRef>
              <c:f>'4. Analyse'!$B$32</c:f>
              <c:strCache>
                <c:ptCount val="1"/>
                <c:pt idx="0">
                  <c:v>Onderhoudskosten</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Analyse'!$C$32:$D$32</c:f>
              <c:numCache>
                <c:formatCode>_("€"\ * #,##0_);_("€"\ * \(#,##0\);_("€"\ * "-"??_);_(@_)</c:formatCode>
                <c:ptCount val="2"/>
                <c:pt idx="0">
                  <c:v>0</c:v>
                </c:pt>
                <c:pt idx="1">
                  <c:v>0</c:v>
                </c:pt>
              </c:numCache>
            </c:numRef>
          </c:val>
          <c:extLst>
            <c:ext xmlns:c16="http://schemas.microsoft.com/office/drawing/2014/chart" uri="{C3380CC4-5D6E-409C-BE32-E72D297353CC}">
              <c16:uniqueId val="{00000009-7370-024B-A39E-FA7AE6FF9841}"/>
            </c:ext>
          </c:extLst>
        </c:ser>
        <c:ser>
          <c:idx val="1"/>
          <c:order val="3"/>
          <c:tx>
            <c:strRef>
              <c:f>'4. Analyse'!$B$31</c:f>
              <c:strCache>
                <c:ptCount val="1"/>
                <c:pt idx="0">
                  <c:v>MRB</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Analyse'!$C$29:$D$29</c:f>
              <c:strCache>
                <c:ptCount val="2"/>
                <c:pt idx="0">
                  <c:v>Huidig</c:v>
                </c:pt>
                <c:pt idx="1">
                  <c:v>Elektrisch</c:v>
                </c:pt>
              </c:strCache>
            </c:strRef>
          </c:cat>
          <c:val>
            <c:numRef>
              <c:f>'4. Analyse'!$C$31:$D$31</c:f>
              <c:numCache>
                <c:formatCode>_("€"\ * #,##0_);_("€"\ * \(#,##0\);_("€"\ * "-"??_);_(@_)</c:formatCode>
                <c:ptCount val="2"/>
                <c:pt idx="0">
                  <c:v>0</c:v>
                </c:pt>
                <c:pt idx="1">
                  <c:v>0</c:v>
                </c:pt>
              </c:numCache>
            </c:numRef>
          </c:val>
          <c:extLst>
            <c:ext xmlns:c16="http://schemas.microsoft.com/office/drawing/2014/chart" uri="{C3380CC4-5D6E-409C-BE32-E72D297353CC}">
              <c16:uniqueId val="{00000008-7370-024B-A39E-FA7AE6FF9841}"/>
            </c:ext>
          </c:extLst>
        </c:ser>
        <c:dLbls>
          <c:dLblPos val="ctr"/>
          <c:showLegendKey val="0"/>
          <c:showVal val="1"/>
          <c:showCatName val="0"/>
          <c:showSerName val="0"/>
          <c:showPercent val="0"/>
          <c:showBubbleSize val="0"/>
        </c:dLbls>
        <c:gapWidth val="55"/>
        <c:overlap val="100"/>
        <c:axId val="146257792"/>
        <c:axId val="146259328"/>
      </c:barChart>
      <c:catAx>
        <c:axId val="146257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6259328"/>
        <c:crosses val="autoZero"/>
        <c:auto val="1"/>
        <c:lblAlgn val="ctr"/>
        <c:lblOffset val="100"/>
        <c:noMultiLvlLbl val="0"/>
      </c:catAx>
      <c:valAx>
        <c:axId val="146259328"/>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2577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Gemiddeld per voertuig</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4"/>
          <c:order val="0"/>
          <c:tx>
            <c:strRef>
              <c:f>'4. Analyse'!$B$36</c:f>
              <c:strCache>
                <c:ptCount val="1"/>
                <c:pt idx="0">
                  <c:v>Energiekosten</c:v>
                </c:pt>
              </c:strCache>
            </c:strRef>
          </c:tx>
          <c:spPr>
            <a:solidFill>
              <a:schemeClr val="accent5"/>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'4. Analyse'!$F$36:$G$36</c:f>
              <c:numCache>
                <c:formatCode>_("€"\ * #,##0_);_("€"\ * \(#,##0\);_("€"\ * "-"??_);_(@_)</c:formatCode>
                <c:ptCount val="2"/>
                <c:pt idx="0">
                  <c:v>0</c:v>
                </c:pt>
                <c:pt idx="1">
                  <c:v>0</c:v>
                </c:pt>
              </c:numCache>
            </c:numRef>
          </c:val>
          <c:extLst>
            <c:ext xmlns:c16="http://schemas.microsoft.com/office/drawing/2014/chart" uri="{C3380CC4-5D6E-409C-BE32-E72D297353CC}">
              <c16:uniqueId val="{00000004-029D-E747-9CA1-E04A1F84ECB9}"/>
            </c:ext>
          </c:extLst>
        </c:ser>
        <c:ser>
          <c:idx val="0"/>
          <c:order val="1"/>
          <c:tx>
            <c:strRef>
              <c:f>'4. Analyse'!$B$30</c:f>
              <c:strCache>
                <c:ptCount val="1"/>
                <c:pt idx="0">
                  <c:v>Verzekeringskosten</c:v>
                </c:pt>
              </c:strCache>
            </c:strRef>
          </c:tx>
          <c:spPr>
            <a:solidFill>
              <a:schemeClr val="accent1"/>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Analyse'!$F$29:$G$29</c:f>
              <c:strCache>
                <c:ptCount val="2"/>
                <c:pt idx="0">
                  <c:v>Huidig</c:v>
                </c:pt>
                <c:pt idx="1">
                  <c:v>Elektrisch</c:v>
                </c:pt>
              </c:strCache>
            </c:strRef>
          </c:cat>
          <c:val>
            <c:numRef>
              <c:f>'4. Analyse'!$F$30:$G$30</c:f>
              <c:numCache>
                <c:formatCode>_("€"\ * #,##0_);_("€"\ * \(#,##0\);_("€"\ * "-"??_);_(@_)</c:formatCode>
                <c:ptCount val="2"/>
                <c:pt idx="0">
                  <c:v>0</c:v>
                </c:pt>
                <c:pt idx="1">
                  <c:v>0</c:v>
                </c:pt>
              </c:numCache>
            </c:numRef>
          </c:val>
          <c:extLst>
            <c:ext xmlns:c16="http://schemas.microsoft.com/office/drawing/2014/chart" uri="{C3380CC4-5D6E-409C-BE32-E72D297353CC}">
              <c16:uniqueId val="{00000000-029D-E747-9CA1-E04A1F84ECB9}"/>
            </c:ext>
          </c:extLst>
        </c:ser>
        <c:ser>
          <c:idx val="2"/>
          <c:order val="2"/>
          <c:tx>
            <c:strRef>
              <c:f>'4. Analyse'!$B$32</c:f>
              <c:strCache>
                <c:ptCount val="1"/>
                <c:pt idx="0">
                  <c:v>Onderhoudskosten</c:v>
                </c:pt>
              </c:strCache>
            </c:strRef>
          </c:tx>
          <c:spPr>
            <a:solidFill>
              <a:schemeClr val="accent3"/>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Analyse'!$F$29:$G$29</c:f>
              <c:strCache>
                <c:ptCount val="2"/>
                <c:pt idx="0">
                  <c:v>Huidig</c:v>
                </c:pt>
                <c:pt idx="1">
                  <c:v>Elektrisch</c:v>
                </c:pt>
              </c:strCache>
            </c:strRef>
          </c:cat>
          <c:val>
            <c:numRef>
              <c:f>'4. Analyse'!$F$32:$G$32</c:f>
              <c:numCache>
                <c:formatCode>_("€"\ * #,##0_);_("€"\ * \(#,##0\);_("€"\ * "-"??_);_(@_)</c:formatCode>
                <c:ptCount val="2"/>
                <c:pt idx="0">
                  <c:v>0</c:v>
                </c:pt>
                <c:pt idx="1">
                  <c:v>0</c:v>
                </c:pt>
              </c:numCache>
            </c:numRef>
          </c:val>
          <c:extLst>
            <c:ext xmlns:c16="http://schemas.microsoft.com/office/drawing/2014/chart" uri="{C3380CC4-5D6E-409C-BE32-E72D297353CC}">
              <c16:uniqueId val="{00000002-029D-E747-9CA1-E04A1F84ECB9}"/>
            </c:ext>
          </c:extLst>
        </c:ser>
        <c:ser>
          <c:idx val="1"/>
          <c:order val="3"/>
          <c:tx>
            <c:strRef>
              <c:f>'4. Analyse'!$B$31</c:f>
              <c:strCache>
                <c:ptCount val="1"/>
                <c:pt idx="0">
                  <c:v>MRB</c:v>
                </c:pt>
              </c:strCache>
            </c:strRef>
          </c:tx>
          <c:spPr>
            <a:solidFill>
              <a:schemeClr val="accent2"/>
            </a:solidFill>
            <a:ln>
              <a:noFill/>
            </a:ln>
            <a:effectLst/>
          </c:spPr>
          <c:invertIfNegative val="0"/>
          <c:dLbls>
            <c:numFmt formatCode="&quot;€&quot;\ #,##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Analyse'!$F$29:$G$29</c:f>
              <c:strCache>
                <c:ptCount val="2"/>
                <c:pt idx="0">
                  <c:v>Huidig</c:v>
                </c:pt>
                <c:pt idx="1">
                  <c:v>Elektrisch</c:v>
                </c:pt>
              </c:strCache>
            </c:strRef>
          </c:cat>
          <c:val>
            <c:numRef>
              <c:f>'4. Analyse'!$F$31:$G$31</c:f>
              <c:numCache>
                <c:formatCode>_("€"\ * #,##0_);_("€"\ * \(#,##0\);_("€"\ * "-"??_);_(@_)</c:formatCode>
                <c:ptCount val="2"/>
                <c:pt idx="0">
                  <c:v>0</c:v>
                </c:pt>
                <c:pt idx="1">
                  <c:v>0</c:v>
                </c:pt>
              </c:numCache>
            </c:numRef>
          </c:val>
          <c:extLst>
            <c:ext xmlns:c16="http://schemas.microsoft.com/office/drawing/2014/chart" uri="{C3380CC4-5D6E-409C-BE32-E72D297353CC}">
              <c16:uniqueId val="{00000001-029D-E747-9CA1-E04A1F84ECB9}"/>
            </c:ext>
          </c:extLst>
        </c:ser>
        <c:dLbls>
          <c:dLblPos val="ctr"/>
          <c:showLegendKey val="0"/>
          <c:showVal val="1"/>
          <c:showCatName val="0"/>
          <c:showSerName val="0"/>
          <c:showPercent val="0"/>
          <c:showBubbleSize val="0"/>
        </c:dLbls>
        <c:gapWidth val="55"/>
        <c:overlap val="100"/>
        <c:axId val="146384000"/>
        <c:axId val="146385536"/>
      </c:barChart>
      <c:catAx>
        <c:axId val="146384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crossAx val="146385536"/>
        <c:crosses val="autoZero"/>
        <c:auto val="1"/>
        <c:lblAlgn val="ctr"/>
        <c:lblOffset val="100"/>
        <c:noMultiLvlLbl val="0"/>
      </c:catAx>
      <c:valAx>
        <c:axId val="146385536"/>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38400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nl-N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CO2 uitstoot volledig wagenpark gedurende gekozen</a:t>
            </a:r>
            <a:r>
              <a:rPr lang="en-US" sz="2000" baseline="0"/>
              <a:t> looptijd</a:t>
            </a:r>
            <a:endParaRPr lang="en-US"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3"/>
          <c:order val="0"/>
          <c:tx>
            <c:strRef>
              <c:f>'4. Analyse'!$B$53</c:f>
              <c:strCache>
                <c:ptCount val="1"/>
                <c:pt idx="0">
                  <c:v>Totale CO2 uitstoot (WTW) </c:v>
                </c:pt>
              </c:strCache>
            </c:strRef>
          </c:tx>
          <c:spPr>
            <a:solidFill>
              <a:schemeClr val="accent4"/>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C35E-BF4B-8B8A-A266AABE69EA}"/>
              </c:ext>
            </c:extLst>
          </c:dPt>
          <c:dPt>
            <c:idx val="1"/>
            <c:invertIfNegative val="0"/>
            <c:bubble3D val="0"/>
            <c:spPr>
              <a:solidFill>
                <a:schemeClr val="accent6"/>
              </a:solidFill>
              <a:ln>
                <a:noFill/>
              </a:ln>
              <a:effectLst/>
            </c:spPr>
            <c:extLst>
              <c:ext xmlns:c16="http://schemas.microsoft.com/office/drawing/2014/chart" uri="{C3380CC4-5D6E-409C-BE32-E72D297353CC}">
                <c16:uniqueId val="{00000003-C35E-BF4B-8B8A-A266AABE69E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Analyse'!$C$52:$D$52</c:f>
              <c:strCache>
                <c:ptCount val="2"/>
                <c:pt idx="0">
                  <c:v> Huidig </c:v>
                </c:pt>
                <c:pt idx="1">
                  <c:v> Elektrisch </c:v>
                </c:pt>
              </c:strCache>
            </c:strRef>
          </c:cat>
          <c:val>
            <c:numRef>
              <c:f>'4. Analyse'!$C$53:$D$53</c:f>
              <c:numCache>
                <c:formatCode>_(* #,##0_);_(* \(#,##0\);_(* "-"??_);_(@_)</c:formatCode>
                <c:ptCount val="2"/>
                <c:pt idx="0">
                  <c:v>0</c:v>
                </c:pt>
                <c:pt idx="1">
                  <c:v>0</c:v>
                </c:pt>
              </c:numCache>
            </c:numRef>
          </c:val>
          <c:extLst>
            <c:ext xmlns:c16="http://schemas.microsoft.com/office/drawing/2014/chart" uri="{C3380CC4-5D6E-409C-BE32-E72D297353CC}">
              <c16:uniqueId val="{00000002-C35E-BF4B-8B8A-A266AABE69EA}"/>
            </c:ext>
          </c:extLst>
        </c:ser>
        <c:dLbls>
          <c:showLegendKey val="0"/>
          <c:showVal val="0"/>
          <c:showCatName val="0"/>
          <c:showSerName val="0"/>
          <c:showPercent val="0"/>
          <c:showBubbleSize val="0"/>
        </c:dLbls>
        <c:gapWidth val="95"/>
        <c:overlap val="100"/>
        <c:axId val="146429056"/>
        <c:axId val="146430592"/>
      </c:barChart>
      <c:catAx>
        <c:axId val="14642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nl-NL"/>
          </a:p>
        </c:txPr>
        <c:crossAx val="146430592"/>
        <c:crosses val="autoZero"/>
        <c:auto val="1"/>
        <c:lblAlgn val="ctr"/>
        <c:lblOffset val="100"/>
        <c:noMultiLvlLbl val="0"/>
      </c:catAx>
      <c:valAx>
        <c:axId val="1464305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CO2 uitstoot (ton)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4290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CO2</a:t>
            </a:r>
            <a:r>
              <a:rPr lang="en-US" sz="2000" baseline="0"/>
              <a:t> uitstoot g</a:t>
            </a:r>
            <a:r>
              <a:rPr lang="en-US" sz="2000"/>
              <a:t>emiddeld per voertuig </a:t>
            </a:r>
            <a:r>
              <a:rPr lang="en-US" sz="2000" b="0" i="0" u="none" strike="noStrike" baseline="0">
                <a:effectLst/>
              </a:rPr>
              <a:t>gedurende gekozen looptijd</a:t>
            </a:r>
            <a:r>
              <a:rPr lang="en-US" sz="2000" b="0" i="0" u="none" strike="noStrike" baseline="0"/>
              <a:t> </a:t>
            </a:r>
            <a:endParaRPr lang="en-US"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stacked"/>
        <c:varyColors val="0"/>
        <c:ser>
          <c:idx val="3"/>
          <c:order val="0"/>
          <c:tx>
            <c:strRef>
              <c:f>'4. Analyse'!$B$53</c:f>
              <c:strCache>
                <c:ptCount val="1"/>
                <c:pt idx="0">
                  <c:v>Totale CO2 uitstoot (WTW) </c:v>
                </c:pt>
              </c:strCache>
            </c:strRef>
          </c:tx>
          <c:spPr>
            <a:solidFill>
              <a:schemeClr val="accent4"/>
            </a:solidFill>
            <a:ln>
              <a:noFill/>
            </a:ln>
            <a:effectLst/>
          </c:spPr>
          <c:invertIfNegative val="0"/>
          <c:dPt>
            <c:idx val="0"/>
            <c:invertIfNegative val="0"/>
            <c:bubble3D val="0"/>
            <c:spPr>
              <a:solidFill>
                <a:schemeClr val="accent3"/>
              </a:solidFill>
              <a:ln>
                <a:noFill/>
              </a:ln>
              <a:effectLst/>
            </c:spPr>
            <c:extLst>
              <c:ext xmlns:c16="http://schemas.microsoft.com/office/drawing/2014/chart" uri="{C3380CC4-5D6E-409C-BE32-E72D297353CC}">
                <c16:uniqueId val="{00000001-11E6-A74E-88BE-392E6FF72D2B}"/>
              </c:ext>
            </c:extLst>
          </c:dPt>
          <c:dPt>
            <c:idx val="1"/>
            <c:invertIfNegative val="0"/>
            <c:bubble3D val="0"/>
            <c:spPr>
              <a:solidFill>
                <a:schemeClr val="accent6"/>
              </a:solidFill>
              <a:ln>
                <a:noFill/>
              </a:ln>
              <a:effectLst/>
            </c:spPr>
            <c:extLst>
              <c:ext xmlns:c16="http://schemas.microsoft.com/office/drawing/2014/chart" uri="{C3380CC4-5D6E-409C-BE32-E72D297353CC}">
                <c16:uniqueId val="{00000003-11E6-A74E-88BE-392E6FF72D2B}"/>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Analyse'!$F$52:$G$52</c:f>
              <c:strCache>
                <c:ptCount val="2"/>
                <c:pt idx="0">
                  <c:v> Huidig </c:v>
                </c:pt>
                <c:pt idx="1">
                  <c:v> Elektrisch </c:v>
                </c:pt>
              </c:strCache>
            </c:strRef>
          </c:cat>
          <c:val>
            <c:numRef>
              <c:f>'4. Analyse'!$F$53:$G$53</c:f>
              <c:numCache>
                <c:formatCode>_(* #,##0.0_);_(* \(#,##0.0\);_(* "-"??_);_(@_)</c:formatCode>
                <c:ptCount val="2"/>
                <c:pt idx="0">
                  <c:v>0</c:v>
                </c:pt>
                <c:pt idx="1">
                  <c:v>0</c:v>
                </c:pt>
              </c:numCache>
            </c:numRef>
          </c:val>
          <c:extLst>
            <c:ext xmlns:c16="http://schemas.microsoft.com/office/drawing/2014/chart" uri="{C3380CC4-5D6E-409C-BE32-E72D297353CC}">
              <c16:uniqueId val="{00000004-11E6-A74E-88BE-392E6FF72D2B}"/>
            </c:ext>
          </c:extLst>
        </c:ser>
        <c:dLbls>
          <c:showLegendKey val="0"/>
          <c:showVal val="0"/>
          <c:showCatName val="0"/>
          <c:showSerName val="0"/>
          <c:showPercent val="0"/>
          <c:showBubbleSize val="0"/>
        </c:dLbls>
        <c:gapWidth val="95"/>
        <c:overlap val="100"/>
        <c:axId val="146466304"/>
        <c:axId val="146467840"/>
      </c:barChart>
      <c:catAx>
        <c:axId val="146466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nl-NL"/>
          </a:p>
        </c:txPr>
        <c:crossAx val="146467840"/>
        <c:crosses val="autoZero"/>
        <c:auto val="1"/>
        <c:lblAlgn val="ctr"/>
        <c:lblOffset val="100"/>
        <c:noMultiLvlLbl val="0"/>
      </c:catAx>
      <c:valAx>
        <c:axId val="14646784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CO2 uitstoot (ton)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nl-NL"/>
            </a:p>
          </c:txPr>
        </c:title>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4646630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1.jpeg"/><Relationship Id="rId1" Type="http://schemas.openxmlformats.org/officeDocument/2006/relationships/hyperlink" Target="https://www.pianoo.nl/nl" TargetMode="External"/><Relationship Id="rId6" Type="http://schemas.openxmlformats.org/officeDocument/2006/relationships/image" Target="../media/image5.emf"/><Relationship Id="rId5" Type="http://schemas.openxmlformats.org/officeDocument/2006/relationships/image" Target="../media/image4.png"/><Relationship Id="rId4" Type="http://schemas.openxmlformats.org/officeDocument/2006/relationships/image" Target="../media/image3.emf"/></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5.xml.rels><?xml version="1.0" encoding="UTF-8" standalone="yes"?>
<Relationships xmlns="http://schemas.openxmlformats.org/package/2006/relationships"><Relationship Id="rId8" Type="http://schemas.openxmlformats.org/officeDocument/2006/relationships/image" Target="../media/image13.jpeg"/><Relationship Id="rId13" Type="http://schemas.openxmlformats.org/officeDocument/2006/relationships/image" Target="../media/image18.jpeg"/><Relationship Id="rId18" Type="http://schemas.openxmlformats.org/officeDocument/2006/relationships/image" Target="../media/image23.jpeg"/><Relationship Id="rId3" Type="http://schemas.openxmlformats.org/officeDocument/2006/relationships/image" Target="../media/image8.jpeg"/><Relationship Id="rId21" Type="http://schemas.openxmlformats.org/officeDocument/2006/relationships/image" Target="../media/image26.jpeg"/><Relationship Id="rId7" Type="http://schemas.openxmlformats.org/officeDocument/2006/relationships/image" Target="../media/image12.jpeg"/><Relationship Id="rId12" Type="http://schemas.openxmlformats.org/officeDocument/2006/relationships/image" Target="../media/image17.jpeg"/><Relationship Id="rId17" Type="http://schemas.openxmlformats.org/officeDocument/2006/relationships/image" Target="../media/image22.jpeg"/><Relationship Id="rId25" Type="http://schemas.openxmlformats.org/officeDocument/2006/relationships/image" Target="../media/image30.jpeg"/><Relationship Id="rId2" Type="http://schemas.openxmlformats.org/officeDocument/2006/relationships/image" Target="../media/image7.jpeg"/><Relationship Id="rId16" Type="http://schemas.openxmlformats.org/officeDocument/2006/relationships/image" Target="../media/image21.jpeg"/><Relationship Id="rId20" Type="http://schemas.openxmlformats.org/officeDocument/2006/relationships/image" Target="../media/image25.jpeg"/><Relationship Id="rId1" Type="http://schemas.openxmlformats.org/officeDocument/2006/relationships/image" Target="../media/image6.jpeg"/><Relationship Id="rId6" Type="http://schemas.openxmlformats.org/officeDocument/2006/relationships/image" Target="../media/image11.jpeg"/><Relationship Id="rId11" Type="http://schemas.openxmlformats.org/officeDocument/2006/relationships/image" Target="../media/image16.jpeg"/><Relationship Id="rId24" Type="http://schemas.openxmlformats.org/officeDocument/2006/relationships/image" Target="../media/image29.jpeg"/><Relationship Id="rId5" Type="http://schemas.openxmlformats.org/officeDocument/2006/relationships/image" Target="../media/image10.jpeg"/><Relationship Id="rId15" Type="http://schemas.openxmlformats.org/officeDocument/2006/relationships/image" Target="../media/image20.jpeg"/><Relationship Id="rId23" Type="http://schemas.openxmlformats.org/officeDocument/2006/relationships/image" Target="../media/image28.jpeg"/><Relationship Id="rId10" Type="http://schemas.openxmlformats.org/officeDocument/2006/relationships/image" Target="../media/image15.jpeg"/><Relationship Id="rId19" Type="http://schemas.openxmlformats.org/officeDocument/2006/relationships/image" Target="../media/image24.jpeg"/><Relationship Id="rId4" Type="http://schemas.openxmlformats.org/officeDocument/2006/relationships/image" Target="../media/image9.jpeg"/><Relationship Id="rId9" Type="http://schemas.openxmlformats.org/officeDocument/2006/relationships/image" Target="../media/image14.jpeg"/><Relationship Id="rId14" Type="http://schemas.openxmlformats.org/officeDocument/2006/relationships/image" Target="../media/image19.jpeg"/><Relationship Id="rId22" Type="http://schemas.openxmlformats.org/officeDocument/2006/relationships/image" Target="../media/image27.jpeg"/></Relationships>
</file>

<file path=xl/drawings/_rels/drawing6.xml.rels><?xml version="1.0" encoding="UTF-8" standalone="yes"?>
<Relationships xmlns="http://schemas.openxmlformats.org/package/2006/relationships"><Relationship Id="rId2" Type="http://schemas.openxmlformats.org/officeDocument/2006/relationships/image" Target="../media/image32.png"/><Relationship Id="rId1" Type="http://schemas.openxmlformats.org/officeDocument/2006/relationships/image" Target="../media/image31.png"/></Relationships>
</file>

<file path=xl/drawings/drawing1.xml><?xml version="1.0" encoding="utf-8"?>
<xdr:wsDr xmlns:xdr="http://schemas.openxmlformats.org/drawingml/2006/spreadsheetDrawing" xmlns:a="http://schemas.openxmlformats.org/drawingml/2006/main">
  <xdr:twoCellAnchor editAs="oneCell">
    <xdr:from>
      <xdr:col>8</xdr:col>
      <xdr:colOff>403350</xdr:colOff>
      <xdr:row>2</xdr:row>
      <xdr:rowOff>297744</xdr:rowOff>
    </xdr:from>
    <xdr:to>
      <xdr:col>10</xdr:col>
      <xdr:colOff>205388</xdr:colOff>
      <xdr:row>2</xdr:row>
      <xdr:rowOff>1346199</xdr:rowOff>
    </xdr:to>
    <xdr:pic>
      <xdr:nvPicPr>
        <xdr:cNvPr id="8" name="Afbeelding 7" descr="Afbeeldingsresultaat voor pianoo logo" title="Logo PIANOo">
          <a:hlinkClick xmlns:r="http://schemas.openxmlformats.org/officeDocument/2006/relationships" r:id="rId1" tooltip="Klik op het logo van PIANOo om naar de website te gaan"/>
          <a:extLst>
            <a:ext uri="{FF2B5EF4-FFF2-40B4-BE49-F238E27FC236}">
              <a16:creationId xmlns:a16="http://schemas.microsoft.com/office/drawing/2014/main" id="{69970799-F477-AD45-9C74-09AB224A58A4}"/>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39407" b="40741"/>
        <a:stretch/>
      </xdr:blipFill>
      <xdr:spPr bwMode="auto">
        <a:xfrm>
          <a:off x="10664950" y="1224844"/>
          <a:ext cx="5199538" cy="1048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63499</xdr:colOff>
      <xdr:row>10</xdr:row>
      <xdr:rowOff>165100</xdr:rowOff>
    </xdr:from>
    <xdr:to>
      <xdr:col>10</xdr:col>
      <xdr:colOff>1930400</xdr:colOff>
      <xdr:row>10</xdr:row>
      <xdr:rowOff>2027506</xdr:rowOff>
    </xdr:to>
    <xdr:pic>
      <xdr:nvPicPr>
        <xdr:cNvPr id="44" name="Afbeelding 43" descr="(1) Reduceren van CO2 uistoot: 7,3 Mton minder in 2030&#10;(2) Luchtkwaliteit en geluidshinder&#10;(3) Voorbeeld- en aanjaagfunctie van de overheid&#10;(4) Economische voordelen&#10;(5) Energietransitie " title="Waarom zero emissie vervoer stimuleren als publieke organisatie?">
          <a:extLst>
            <a:ext uri="{FF2B5EF4-FFF2-40B4-BE49-F238E27FC236}">
              <a16:creationId xmlns:a16="http://schemas.microsoft.com/office/drawing/2014/main" id="{B22B2B61-A28E-124D-973E-E0CD41B074E1}"/>
            </a:ext>
          </a:extLst>
        </xdr:cNvPr>
        <xdr:cNvPicPr>
          <a:picLocks noChangeAspect="1"/>
        </xdr:cNvPicPr>
      </xdr:nvPicPr>
      <xdr:blipFill>
        <a:blip xmlns:r="http://schemas.openxmlformats.org/officeDocument/2006/relationships" r:embed="rId3"/>
        <a:stretch>
          <a:fillRect/>
        </a:stretch>
      </xdr:blipFill>
      <xdr:spPr>
        <a:xfrm>
          <a:off x="9817099" y="7645400"/>
          <a:ext cx="7772401" cy="1862406"/>
        </a:xfrm>
        <a:prstGeom prst="rect">
          <a:avLst/>
        </a:prstGeom>
      </xdr:spPr>
    </xdr:pic>
    <xdr:clientData/>
  </xdr:twoCellAnchor>
  <xdr:twoCellAnchor editAs="oneCell">
    <xdr:from>
      <xdr:col>5</xdr:col>
      <xdr:colOff>282045</xdr:colOff>
      <xdr:row>13</xdr:row>
      <xdr:rowOff>146052</xdr:rowOff>
    </xdr:from>
    <xdr:to>
      <xdr:col>11</xdr:col>
      <xdr:colOff>539750</xdr:colOff>
      <xdr:row>14</xdr:row>
      <xdr:rowOff>304800</xdr:rowOff>
    </xdr:to>
    <xdr:pic>
      <xdr:nvPicPr>
        <xdr:cNvPr id="45" name="Afbeelding 44" descr="Aandeel transport in NOx-emissies in Nederland: Transport 57%, Overig 43%.&#10;&#10;Aandeel transport: auto's, bestelwagens en vrachtwagens 57%, vaart 25%, landbouw 6%, trein en bouw: 11%&#10;" title="NOx en PM10 emissies">
          <a:extLst>
            <a:ext uri="{FF2B5EF4-FFF2-40B4-BE49-F238E27FC236}">
              <a16:creationId xmlns:a16="http://schemas.microsoft.com/office/drawing/2014/main" id="{854FC611-A592-7040-AF52-FB9BD988D329}"/>
            </a:ext>
          </a:extLst>
        </xdr:cNvPr>
        <xdr:cNvPicPr>
          <a:picLocks noChangeAspect="1"/>
        </xdr:cNvPicPr>
      </xdr:nvPicPr>
      <xdr:blipFill>
        <a:blip xmlns:r="http://schemas.openxmlformats.org/officeDocument/2006/relationships" r:embed="rId4"/>
        <a:stretch>
          <a:fillRect/>
        </a:stretch>
      </xdr:blipFill>
      <xdr:spPr>
        <a:xfrm>
          <a:off x="8956145" y="13684252"/>
          <a:ext cx="9401705" cy="4006848"/>
        </a:xfrm>
        <a:prstGeom prst="rect">
          <a:avLst/>
        </a:prstGeom>
      </xdr:spPr>
    </xdr:pic>
    <xdr:clientData/>
  </xdr:twoCellAnchor>
  <xdr:twoCellAnchor editAs="oneCell">
    <xdr:from>
      <xdr:col>1</xdr:col>
      <xdr:colOff>143746</xdr:colOff>
      <xdr:row>13</xdr:row>
      <xdr:rowOff>165100</xdr:rowOff>
    </xdr:from>
    <xdr:to>
      <xdr:col>5</xdr:col>
      <xdr:colOff>643652</xdr:colOff>
      <xdr:row>14</xdr:row>
      <xdr:rowOff>305566</xdr:rowOff>
    </xdr:to>
    <xdr:pic>
      <xdr:nvPicPr>
        <xdr:cNvPr id="83" name="Afbeelding 82">
          <a:extLst>
            <a:ext uri="{FF2B5EF4-FFF2-40B4-BE49-F238E27FC236}">
              <a16:creationId xmlns:a16="http://schemas.microsoft.com/office/drawing/2014/main" id="{65E5F431-5506-FE42-8D73-DFCD6A10C1D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73946" y="13754100"/>
          <a:ext cx="8843806" cy="3988566"/>
        </a:xfrm>
        <a:prstGeom prst="rect">
          <a:avLst/>
        </a:prstGeom>
      </xdr:spPr>
    </xdr:pic>
    <xdr:clientData/>
  </xdr:twoCellAnchor>
  <xdr:twoCellAnchor editAs="oneCell">
    <xdr:from>
      <xdr:col>0</xdr:col>
      <xdr:colOff>228600</xdr:colOff>
      <xdr:row>0</xdr:row>
      <xdr:rowOff>63500</xdr:rowOff>
    </xdr:from>
    <xdr:to>
      <xdr:col>1</xdr:col>
      <xdr:colOff>2032000</xdr:colOff>
      <xdr:row>0</xdr:row>
      <xdr:rowOff>493727</xdr:rowOff>
    </xdr:to>
    <xdr:pic>
      <xdr:nvPicPr>
        <xdr:cNvPr id="84" name="Afbeelding 83" descr="Afbeeldingsresultaat voor pianoo logo" title="Logo PIANOo">
          <a:hlinkClick xmlns:r="http://schemas.openxmlformats.org/officeDocument/2006/relationships" r:id="rId1" tooltip="Klik op het logo van PIANOo om naar de website te gaan"/>
          <a:extLst>
            <a:ext uri="{FF2B5EF4-FFF2-40B4-BE49-F238E27FC236}">
              <a16:creationId xmlns:a16="http://schemas.microsoft.com/office/drawing/2014/main" id="{CE8B6816-8E66-AC46-A0A5-47844281C281}"/>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39407" b="40741"/>
        <a:stretch/>
      </xdr:blipFill>
      <xdr:spPr bwMode="auto">
        <a:xfrm>
          <a:off x="228600" y="63500"/>
          <a:ext cx="2133600" cy="4302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469899</xdr:colOff>
      <xdr:row>10</xdr:row>
      <xdr:rowOff>2057400</xdr:rowOff>
    </xdr:from>
    <xdr:to>
      <xdr:col>10</xdr:col>
      <xdr:colOff>1600200</xdr:colOff>
      <xdr:row>10</xdr:row>
      <xdr:rowOff>4680749</xdr:rowOff>
    </xdr:to>
    <xdr:pic>
      <xdr:nvPicPr>
        <xdr:cNvPr id="89" name="Afbeelding 88" descr="CO2-emissie door wegverkeer in 2016: 29 Mton.&#10;&#10;CO2-emissie per jaar bij EV met huidige energiemix: 17 Mton&#10;&#10;CO2-emissie per jaar bij EV met 100% duurzame opwek: 1,5 Mton. " title="Wat kan EV doen aan CO2-emissie door wegverkeer?">
          <a:extLst>
            <a:ext uri="{FF2B5EF4-FFF2-40B4-BE49-F238E27FC236}">
              <a16:creationId xmlns:a16="http://schemas.microsoft.com/office/drawing/2014/main" id="{11D066AB-5FD3-304E-880F-E735ED859CFB}"/>
            </a:ext>
          </a:extLst>
        </xdr:cNvPr>
        <xdr:cNvPicPr>
          <a:picLocks noChangeAspect="1"/>
        </xdr:cNvPicPr>
      </xdr:nvPicPr>
      <xdr:blipFill>
        <a:blip xmlns:r="http://schemas.openxmlformats.org/officeDocument/2006/relationships" r:embed="rId6"/>
        <a:stretch>
          <a:fillRect/>
        </a:stretch>
      </xdr:blipFill>
      <xdr:spPr>
        <a:xfrm>
          <a:off x="10223499" y="9537700"/>
          <a:ext cx="7035801" cy="26233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12700</xdr:colOff>
      <xdr:row>91</xdr:row>
      <xdr:rowOff>101601</xdr:rowOff>
    </xdr:from>
    <xdr:to>
      <xdr:col>8</xdr:col>
      <xdr:colOff>0</xdr:colOff>
      <xdr:row>97</xdr:row>
      <xdr:rowOff>12700</xdr:rowOff>
    </xdr:to>
    <xdr:sp macro="" textlink="">
      <xdr:nvSpPr>
        <xdr:cNvPr id="2" name="Tekstvak 1">
          <a:extLst>
            <a:ext uri="{FF2B5EF4-FFF2-40B4-BE49-F238E27FC236}">
              <a16:creationId xmlns:a16="http://schemas.microsoft.com/office/drawing/2014/main" id="{2C672202-208C-594E-BCD8-E146FCAA7DEA}"/>
            </a:ext>
          </a:extLst>
        </xdr:cNvPr>
        <xdr:cNvSpPr txBox="1"/>
      </xdr:nvSpPr>
      <xdr:spPr>
        <a:xfrm>
          <a:off x="215900" y="36017201"/>
          <a:ext cx="16852900" cy="17398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400" b="1">
              <a:latin typeface="Corbel" panose="020B0503020204020204" pitchFamily="34" charset="0"/>
            </a:rPr>
            <a:t>Aanschafbelasting auto (BPM)</a:t>
          </a:r>
        </a:p>
        <a:p>
          <a:endParaRPr lang="nl-NL" sz="1400" b="1">
            <a:latin typeface="Corbel" panose="020B0503020204020204" pitchFamily="34" charset="0"/>
          </a:endParaRPr>
        </a:p>
        <a:p>
          <a:r>
            <a:rPr lang="nl-NL" sz="1400">
              <a:latin typeface="Corbel" panose="020B0503020204020204" pitchFamily="34" charset="0"/>
            </a:rPr>
            <a:t>De vaststelling van de BPM vindt plaats aan de hand van CO2-schijven waarbinnen voor elk gram CO2 per km een bepaald tarief moet worden betaald. Omdat auto’s als gevolg van technologische ontwikkelingen steeds zuiniger worden, worden de CO2-grenzen en tarieven voor BPM-schijven elk jaar aangescherpt. Volledig elektrische auto’s zijn volledig vrijgesteld van BPM. Voor dieselauto’s is een CO2-afhankelijke dieseltoeslag van toepassing ter compensatie voor de lagere accijns op diesel ten opzichte van benzine. De dieseltoeslag gaat uit van een tarief per gram boven de CO2 grenswaarde.</a:t>
          </a:r>
        </a:p>
        <a:p>
          <a:endParaRPr lang="nl-NL" sz="1400">
            <a:latin typeface="Corbel" panose="020B0503020204020204" pitchFamily="34" charset="0"/>
          </a:endParaRPr>
        </a:p>
        <a:p>
          <a:r>
            <a:rPr lang="nl-NL" sz="1400">
              <a:latin typeface="Corbel" panose="020B0503020204020204" pitchFamily="34" charset="0"/>
            </a:rPr>
            <a:t>De bpm voor een bestelauto is een percentage van de nettocatalogusprijsmet een aftrek of toeslag, afhankelijk van de brandstof.</a:t>
          </a:r>
        </a:p>
        <a:p>
          <a:endParaRPr lang="nl-NL" sz="1400">
            <a:latin typeface="Corbel" panose="020B0503020204020204" pitchFamily="34" charset="0"/>
          </a:endParaRPr>
        </a:p>
      </xdr:txBody>
    </xdr:sp>
    <xdr:clientData/>
  </xdr:twoCellAnchor>
  <xdr:twoCellAnchor>
    <xdr:from>
      <xdr:col>0</xdr:col>
      <xdr:colOff>190500</xdr:colOff>
      <xdr:row>101</xdr:row>
      <xdr:rowOff>165101</xdr:rowOff>
    </xdr:from>
    <xdr:to>
      <xdr:col>8</xdr:col>
      <xdr:colOff>0</xdr:colOff>
      <xdr:row>105</xdr:row>
      <xdr:rowOff>63500</xdr:rowOff>
    </xdr:to>
    <xdr:sp macro="" textlink="">
      <xdr:nvSpPr>
        <xdr:cNvPr id="3" name="Tekstvak 2">
          <a:extLst>
            <a:ext uri="{FF2B5EF4-FFF2-40B4-BE49-F238E27FC236}">
              <a16:creationId xmlns:a16="http://schemas.microsoft.com/office/drawing/2014/main" id="{C4B75969-6704-3642-8273-D7791D6390AB}"/>
            </a:ext>
          </a:extLst>
        </xdr:cNvPr>
        <xdr:cNvSpPr txBox="1"/>
      </xdr:nvSpPr>
      <xdr:spPr>
        <a:xfrm>
          <a:off x="190500" y="39319201"/>
          <a:ext cx="16878300" cy="1117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400" b="1">
              <a:latin typeface="Corbel" panose="020B0503020204020204" pitchFamily="34" charset="0"/>
            </a:rPr>
            <a:t>Motorrijtuigenbelasting (MRB)</a:t>
          </a:r>
        </a:p>
        <a:p>
          <a:endParaRPr lang="nl-NL" sz="1400" b="1">
            <a:latin typeface="Corbel" panose="020B0503020204020204" pitchFamily="34" charset="0"/>
          </a:endParaRPr>
        </a:p>
        <a:p>
          <a:r>
            <a:rPr lang="nl-NL" sz="1400">
              <a:latin typeface="Corbel" panose="020B0503020204020204" pitchFamily="34" charset="0"/>
            </a:rPr>
            <a:t>Volledig elektrische personenauto’s zijn tot en met 2020 vrijgesteld van MRB. Voor personenauto’s met een CO2-uitstoot van 1 - 50 g/km geldt tot en met 2020 voor de MRB het halftarief. De grens van maximaal 50 g/km CO2-uitstoot sluit aan bij de Europese regelgeving.</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438150</xdr:colOff>
      <xdr:row>7</xdr:row>
      <xdr:rowOff>12700</xdr:rowOff>
    </xdr:from>
    <xdr:to>
      <xdr:col>11</xdr:col>
      <xdr:colOff>127000</xdr:colOff>
      <xdr:row>40</xdr:row>
      <xdr:rowOff>25400</xdr:rowOff>
    </xdr:to>
    <xdr:graphicFrame macro="">
      <xdr:nvGraphicFramePr>
        <xdr:cNvPr id="2" name="Chart 1" descr="Per voertuigsegment is het huidige en het nieuwe (elektrisch) wagenpark te zien." title="Grafiek voertuigen in wagenpark">
          <a:extLst>
            <a:ext uri="{FF2B5EF4-FFF2-40B4-BE49-F238E27FC236}">
              <a16:creationId xmlns:a16="http://schemas.microsoft.com/office/drawing/2014/main" id="{B2C8760A-D0B2-C049-81B7-31E5B3B1E1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590550</xdr:colOff>
      <xdr:row>7</xdr:row>
      <xdr:rowOff>0</xdr:rowOff>
    </xdr:from>
    <xdr:to>
      <xdr:col>22</xdr:col>
      <xdr:colOff>12700</xdr:colOff>
      <xdr:row>23</xdr:row>
      <xdr:rowOff>38100</xdr:rowOff>
    </xdr:to>
    <xdr:graphicFrame macro="">
      <xdr:nvGraphicFramePr>
        <xdr:cNvPr id="3" name="Chart 2" descr="Per voertuig segment worden het aantal benzine voertuigen in vier kilometrage-categorieen ingedeeld: &#10;(1) 0 tot 10.000 km&#10;(2) 10.000 - 20.000 km&#10;(3) 20.000 - 30.000 km&#10;(4) meer dan 30.000 km" title="Grafiek Kilometrage benzine voertuigen ">
          <a:extLst>
            <a:ext uri="{FF2B5EF4-FFF2-40B4-BE49-F238E27FC236}">
              <a16:creationId xmlns:a16="http://schemas.microsoft.com/office/drawing/2014/main" id="{39214920-EE0F-8F48-93C1-BAA63AA176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571500</xdr:colOff>
      <xdr:row>24</xdr:row>
      <xdr:rowOff>0</xdr:rowOff>
    </xdr:from>
    <xdr:to>
      <xdr:col>21</xdr:col>
      <xdr:colOff>819150</xdr:colOff>
      <xdr:row>40</xdr:row>
      <xdr:rowOff>38100</xdr:rowOff>
    </xdr:to>
    <xdr:graphicFrame macro="">
      <xdr:nvGraphicFramePr>
        <xdr:cNvPr id="4" name="Chart 3" descr="Per voertuig segment worden het aantal benzine voertuigen in vier kilometrage-categorieen ingedeeld: &#10;(1) 0 tot 10.000 km&#10;(2) 10.000 - 20.000 km&#10;(3) 20.000 - 30.000 km&#10;(4) meer dan 30.000 km" title="Grafiek kilometrage diesel voertuigen">
          <a:extLst>
            <a:ext uri="{FF2B5EF4-FFF2-40B4-BE49-F238E27FC236}">
              <a16:creationId xmlns:a16="http://schemas.microsoft.com/office/drawing/2014/main" id="{6663E4AB-F024-9140-90FB-E9526FD12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43</xdr:row>
      <xdr:rowOff>0</xdr:rowOff>
    </xdr:from>
    <xdr:to>
      <xdr:col>9</xdr:col>
      <xdr:colOff>50800</xdr:colOff>
      <xdr:row>66</xdr:row>
      <xdr:rowOff>50800</xdr:rowOff>
    </xdr:to>
    <xdr:graphicFrame macro="">
      <xdr:nvGraphicFramePr>
        <xdr:cNvPr id="5" name="Chart 4" descr="De CAPEX is opgedaald in BPM, BTW en Netto prijs voertuig excl. BTW en BPM." title="CAPEX volledig wagenpark">
          <a:extLst>
            <a:ext uri="{FF2B5EF4-FFF2-40B4-BE49-F238E27FC236}">
              <a16:creationId xmlns:a16="http://schemas.microsoft.com/office/drawing/2014/main" id="{313DC282-2B52-ED4C-AA55-BE3E4DDAAB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0</xdr:colOff>
      <xdr:row>43</xdr:row>
      <xdr:rowOff>0</xdr:rowOff>
    </xdr:from>
    <xdr:to>
      <xdr:col>18</xdr:col>
      <xdr:colOff>31750</xdr:colOff>
      <xdr:row>66</xdr:row>
      <xdr:rowOff>50800</xdr:rowOff>
    </xdr:to>
    <xdr:graphicFrame macro="">
      <xdr:nvGraphicFramePr>
        <xdr:cNvPr id="6" name="Chart 5" descr="De CAPEX is opgedaald in BPM, BTW en Netto prijs voertuig excl. BTW en BPM." title="CAPEX gemiddeld per voertuig">
          <a:extLst>
            <a:ext uri="{FF2B5EF4-FFF2-40B4-BE49-F238E27FC236}">
              <a16:creationId xmlns:a16="http://schemas.microsoft.com/office/drawing/2014/main" id="{39A10517-ACF4-0848-91AF-A0F9566F23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70</xdr:row>
      <xdr:rowOff>0</xdr:rowOff>
    </xdr:from>
    <xdr:to>
      <xdr:col>9</xdr:col>
      <xdr:colOff>31750</xdr:colOff>
      <xdr:row>93</xdr:row>
      <xdr:rowOff>50800</xdr:rowOff>
    </xdr:to>
    <xdr:graphicFrame macro="">
      <xdr:nvGraphicFramePr>
        <xdr:cNvPr id="7" name="Chart 6" descr="OPEX opgedeeld in afschrijving (incl. BPM), MRB, onderhouds-, verzekerings en energie-kosten." title="OPEX (per maand) volledig wagenpark">
          <a:extLst>
            <a:ext uri="{FF2B5EF4-FFF2-40B4-BE49-F238E27FC236}">
              <a16:creationId xmlns:a16="http://schemas.microsoft.com/office/drawing/2014/main" id="{958E29A5-A2EC-4D49-ACF2-58B3C39EC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70</xdr:row>
      <xdr:rowOff>0</xdr:rowOff>
    </xdr:from>
    <xdr:to>
      <xdr:col>18</xdr:col>
      <xdr:colOff>31750</xdr:colOff>
      <xdr:row>93</xdr:row>
      <xdr:rowOff>50800</xdr:rowOff>
    </xdr:to>
    <xdr:graphicFrame macro="">
      <xdr:nvGraphicFramePr>
        <xdr:cNvPr id="8" name="Chart 7" descr="OPEX opgedeeld in afschrijving (incl. BPM), MRB, onderhouds-, verzekerings en energie-kosten." title="OPEX (per maand) gemiddeld per voertuig">
          <a:extLst>
            <a:ext uri="{FF2B5EF4-FFF2-40B4-BE49-F238E27FC236}">
              <a16:creationId xmlns:a16="http://schemas.microsoft.com/office/drawing/2014/main" id="{77820264-AAA2-7C4D-9C25-13282AD56D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122</xdr:row>
      <xdr:rowOff>0</xdr:rowOff>
    </xdr:from>
    <xdr:to>
      <xdr:col>9</xdr:col>
      <xdr:colOff>31750</xdr:colOff>
      <xdr:row>145</xdr:row>
      <xdr:rowOff>50800</xdr:rowOff>
    </xdr:to>
    <xdr:graphicFrame macro="">
      <xdr:nvGraphicFramePr>
        <xdr:cNvPr id="12" name="Chart 11" title="CO2 uitstoot volledig wagenpark gedurende gekozen looptijd">
          <a:extLst>
            <a:ext uri="{FF2B5EF4-FFF2-40B4-BE49-F238E27FC236}">
              <a16:creationId xmlns:a16="http://schemas.microsoft.com/office/drawing/2014/main" id="{E161642C-4322-354C-B451-B53A0767F2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10</xdr:col>
      <xdr:colOff>0</xdr:colOff>
      <xdr:row>122</xdr:row>
      <xdr:rowOff>0</xdr:rowOff>
    </xdr:from>
    <xdr:to>
      <xdr:col>18</xdr:col>
      <xdr:colOff>31750</xdr:colOff>
      <xdr:row>145</xdr:row>
      <xdr:rowOff>53848</xdr:rowOff>
    </xdr:to>
    <xdr:graphicFrame macro="">
      <xdr:nvGraphicFramePr>
        <xdr:cNvPr id="13" name="Chart 12" title="CO2 uitstoot gemiddeld per voertuig gedurende gekozen looptijd">
          <a:extLst>
            <a:ext uri="{FF2B5EF4-FFF2-40B4-BE49-F238E27FC236}">
              <a16:creationId xmlns:a16="http://schemas.microsoft.com/office/drawing/2014/main" id="{44E47FB8-8493-254E-8F77-C170556259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97</xdr:row>
      <xdr:rowOff>12700</xdr:rowOff>
    </xdr:from>
    <xdr:to>
      <xdr:col>9</xdr:col>
      <xdr:colOff>31750</xdr:colOff>
      <xdr:row>120</xdr:row>
      <xdr:rowOff>63500</xdr:rowOff>
    </xdr:to>
    <xdr:graphicFrame macro="">
      <xdr:nvGraphicFramePr>
        <xdr:cNvPr id="14" name="Chart 6" descr="OPEX opgedeeld in afschrijving (incl. BPM), MRB, onderhouds-, verzekerings en energie-kosten." title="OPEX (per maand) volledig wagenpark">
          <a:extLst>
            <a:ext uri="{FF2B5EF4-FFF2-40B4-BE49-F238E27FC236}">
              <a16:creationId xmlns:a16="http://schemas.microsoft.com/office/drawing/2014/main" id="{828DCAD9-724F-714E-8030-3131E9443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825500</xdr:colOff>
      <xdr:row>97</xdr:row>
      <xdr:rowOff>12700</xdr:rowOff>
    </xdr:from>
    <xdr:to>
      <xdr:col>18</xdr:col>
      <xdr:colOff>6350</xdr:colOff>
      <xdr:row>120</xdr:row>
      <xdr:rowOff>63500</xdr:rowOff>
    </xdr:to>
    <xdr:graphicFrame macro="">
      <xdr:nvGraphicFramePr>
        <xdr:cNvPr id="16" name="Chart 6" descr="OPEX opgedeeld in afschrijving (incl. BPM), MRB, onderhouds-, verzekerings en energie-kosten." title="OPEX (per maand) volledig wagenpark">
          <a:extLst>
            <a:ext uri="{FF2B5EF4-FFF2-40B4-BE49-F238E27FC236}">
              <a16:creationId xmlns:a16="http://schemas.microsoft.com/office/drawing/2014/main" id="{2541DA7D-3944-CB45-A373-12107DBA8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45354</xdr:colOff>
      <xdr:row>151</xdr:row>
      <xdr:rowOff>147411</xdr:rowOff>
    </xdr:from>
    <xdr:to>
      <xdr:col>8</xdr:col>
      <xdr:colOff>839104</xdr:colOff>
      <xdr:row>167</xdr:row>
      <xdr:rowOff>56697</xdr:rowOff>
    </xdr:to>
    <xdr:sp macro="" textlink="">
      <xdr:nvSpPr>
        <xdr:cNvPr id="2" name="Tekstvak 1">
          <a:extLst>
            <a:ext uri="{FF2B5EF4-FFF2-40B4-BE49-F238E27FC236}">
              <a16:creationId xmlns:a16="http://schemas.microsoft.com/office/drawing/2014/main" id="{68D086D2-A0F8-F94D-B66B-A95587BBAA34}"/>
            </a:ext>
          </a:extLst>
        </xdr:cNvPr>
        <xdr:cNvSpPr txBox="1"/>
      </xdr:nvSpPr>
      <xdr:spPr>
        <a:xfrm>
          <a:off x="45354" y="23517679"/>
          <a:ext cx="13788571" cy="3175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Bereken de bpm over de CO2-uitstoot</a:t>
          </a:r>
        </a:p>
        <a:p>
          <a:endParaRPr lang="nl-NL" sz="1100" b="1"/>
        </a:p>
        <a:p>
          <a:r>
            <a:rPr lang="nl-NL" sz="1100" b="1"/>
            <a:t>Voorbeeld 1 - benzine</a:t>
          </a:r>
        </a:p>
        <a:p>
          <a:r>
            <a:rPr lang="nl-NL" sz="1100"/>
            <a:t>1. De CO2-uitstoot van uw personenauto diesel is 140 gram/km.</a:t>
          </a:r>
        </a:p>
        <a:p>
          <a:r>
            <a:rPr lang="nl-NL" sz="1100"/>
            <a:t>2. In de tabel valt deze waarde tussen de 98 en de 144 gram/km.</a:t>
          </a:r>
        </a:p>
        <a:p>
          <a:r>
            <a:rPr lang="nl-NL" sz="1100"/>
            <a:t>3. Trek van de uitstoot van uw auto 98 gram/km af: 140 - 98 = 42</a:t>
          </a:r>
        </a:p>
        <a:p>
          <a:r>
            <a:rPr lang="nl-NL" sz="1100"/>
            <a:t>4. Vermenigvuldig de uitkomst met het bedrag dat in kolom IV staat van dezelfde rij: 42 x € 139 = € 5.838</a:t>
          </a:r>
        </a:p>
        <a:p>
          <a:r>
            <a:rPr lang="nl-NL" sz="1100"/>
            <a:t>5. Tel bij de uitkomst het bedrag dat in kolom III staat van dezelfde rij: € 5.838 + € 2.077 = € 7.915. Dit is de bpm die u moet betalen.</a:t>
          </a:r>
        </a:p>
        <a:p>
          <a:endParaRPr lang="nl-NL" sz="1100"/>
        </a:p>
        <a:p>
          <a:r>
            <a:rPr lang="nl-NL" sz="1100" b="1"/>
            <a:t>Voorbeeld 2 -</a:t>
          </a:r>
          <a:r>
            <a:rPr lang="nl-NL" sz="1100" b="1" baseline="0"/>
            <a:t> diesel</a:t>
          </a:r>
        </a:p>
        <a:p>
          <a:r>
            <a:rPr lang="nl-NL" sz="1100" b="0" baseline="0"/>
            <a:t>1. Is de CO2-uitstoot van uw personenauto met een dieselmotor meer dan 63 gram/km? Dan betaalt u naast de uitkomst van bovenstaande tabel een dieseltoeslag van € 87,38 per gram CO2-uitstoot boven de 63 gram/km.</a:t>
          </a:r>
        </a:p>
        <a:p>
          <a:r>
            <a:rPr lang="nl-NL" sz="1100" b="0" baseline="0"/>
            <a:t>2. De CO2-uitstoot van uw personenauto diesel is 140 gram/km. Dan berekent u de dieseltoeslag als volgt:</a:t>
          </a:r>
        </a:p>
        <a:p>
          <a:r>
            <a:rPr lang="nl-NL" sz="1100" b="0" baseline="0"/>
            <a:t>3. Dieseltoeslag = (140 - 63) x € 87,38 = € 6.728</a:t>
          </a:r>
        </a:p>
        <a:p>
          <a:r>
            <a:rPr lang="nl-NL" sz="1100" b="0" baseline="0"/>
            <a:t>4. Tel dit bedrag op bij de bpm voor een personenauto op benzine: € 6.728 + € 7.915 = € 14.643 </a:t>
          </a:r>
        </a:p>
        <a:p>
          <a:endParaRPr lang="nl-NL" sz="1100" b="1" baseline="0"/>
        </a:p>
        <a:p>
          <a:r>
            <a:rPr lang="nl-NL" sz="1100" b="1" baseline="0"/>
            <a:t>Bron: </a:t>
          </a:r>
        </a:p>
        <a:p>
          <a:r>
            <a:rPr lang="nl-NL" sz="1100" b="0" baseline="0"/>
            <a:t>Belastingdienst</a:t>
          </a:r>
          <a:endParaRPr lang="nl-NL" sz="1100" b="0"/>
        </a:p>
      </xdr:txBody>
    </xdr:sp>
    <xdr:clientData/>
  </xdr:twoCellAnchor>
  <xdr:twoCellAnchor>
    <xdr:from>
      <xdr:col>0</xdr:col>
      <xdr:colOff>102053</xdr:colOff>
      <xdr:row>194</xdr:row>
      <xdr:rowOff>147411</xdr:rowOff>
    </xdr:from>
    <xdr:to>
      <xdr:col>5</xdr:col>
      <xdr:colOff>158749</xdr:colOff>
      <xdr:row>200</xdr:row>
      <xdr:rowOff>45357</xdr:rowOff>
    </xdr:to>
    <xdr:sp macro="" textlink="">
      <xdr:nvSpPr>
        <xdr:cNvPr id="3" name="Tekstvak 2">
          <a:extLst>
            <a:ext uri="{FF2B5EF4-FFF2-40B4-BE49-F238E27FC236}">
              <a16:creationId xmlns:a16="http://schemas.microsoft.com/office/drawing/2014/main" id="{AD0E4FC9-803B-CC4C-91B8-CE6267BBEAA8}"/>
            </a:ext>
          </a:extLst>
        </xdr:cNvPr>
        <xdr:cNvSpPr txBox="1"/>
      </xdr:nvSpPr>
      <xdr:spPr>
        <a:xfrm>
          <a:off x="102053" y="29799643"/>
          <a:ext cx="7143750" cy="1122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Motorrijtuigenbelasting (MRB)</a:t>
          </a:r>
        </a:p>
        <a:p>
          <a:endParaRPr lang="nl-NL" sz="1100" b="1"/>
        </a:p>
        <a:p>
          <a:r>
            <a:rPr lang="nl-NL" sz="1100"/>
            <a:t>Volledig elektrische personenauto’s zijn tot en met 2020 vrijgesteld van MRB. Voor personenauto’s met een CO2-uitstoot van 1 - 50 g/km geldt tot en met 2020 voor de MRB het halftarief. De grens van maximaal 50 g/km CO2-uitstoot sluit aan bij de Europese regelgeving.</a:t>
          </a:r>
        </a:p>
      </xdr:txBody>
    </xdr:sp>
    <xdr:clientData/>
  </xdr:twoCellAnchor>
  <xdr:twoCellAnchor>
    <xdr:from>
      <xdr:col>0</xdr:col>
      <xdr:colOff>56696</xdr:colOff>
      <xdr:row>134</xdr:row>
      <xdr:rowOff>56697</xdr:rowOff>
    </xdr:from>
    <xdr:to>
      <xdr:col>5</xdr:col>
      <xdr:colOff>600982</xdr:colOff>
      <xdr:row>141</xdr:row>
      <xdr:rowOff>181429</xdr:rowOff>
    </xdr:to>
    <xdr:sp macro="" textlink="">
      <xdr:nvSpPr>
        <xdr:cNvPr id="4" name="Tekstvak 3">
          <a:extLst>
            <a:ext uri="{FF2B5EF4-FFF2-40B4-BE49-F238E27FC236}">
              <a16:creationId xmlns:a16="http://schemas.microsoft.com/office/drawing/2014/main" id="{8ADD8681-DA54-A44E-AC04-2A5501668BFC}"/>
            </a:ext>
          </a:extLst>
        </xdr:cNvPr>
        <xdr:cNvSpPr txBox="1"/>
      </xdr:nvSpPr>
      <xdr:spPr>
        <a:xfrm>
          <a:off x="56696" y="19730358"/>
          <a:ext cx="10182679" cy="15534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t>Aanschafbelasting auto (BPM)</a:t>
          </a:r>
        </a:p>
        <a:p>
          <a:endParaRPr lang="nl-NL" sz="1100" b="1"/>
        </a:p>
        <a:p>
          <a:r>
            <a:rPr lang="nl-NL" sz="1100"/>
            <a:t>De vaststelling van de BPM vindt plaats aan de hand van CO2-schijven waarbinnen voor elk gram CO2 per km een bepaald tarief moet worden betaald. Omdat auto’s als gevolg van technologische ontwikkelingen steeds zuiniger worden, worden de CO2-grenzen en tarieven voor BPM-schijven elk jaar aangescherpt. Volledig elektrische auto’s zijn volledig vrijgesteld van BPM. Voor dieselauto’s is een CO2-afhankelijke dieseltoeslag van toepassing ter compensatie voor de lagere accijns op diesel ten opzichte van benzine. De dieseltoeslag gaat uit van een tarief per gram boven de CO2 grenswaarde.</a:t>
          </a:r>
        </a:p>
        <a:p>
          <a:endParaRPr lang="nl-NL" sz="1100"/>
        </a:p>
        <a:p>
          <a:r>
            <a:rPr lang="nl-NL" sz="1100" b="1"/>
            <a:t>Bron: </a:t>
          </a:r>
          <a:r>
            <a:rPr lang="nl-NL" sz="1100"/>
            <a:t>Belastingdienst</a:t>
          </a:r>
        </a:p>
      </xdr:txBody>
    </xdr:sp>
    <xdr:clientData/>
  </xdr:twoCellAnchor>
  <xdr:twoCellAnchor>
    <xdr:from>
      <xdr:col>8</xdr:col>
      <xdr:colOff>241298</xdr:colOff>
      <xdr:row>59</xdr:row>
      <xdr:rowOff>0</xdr:rowOff>
    </xdr:from>
    <xdr:to>
      <xdr:col>12</xdr:col>
      <xdr:colOff>939799</xdr:colOff>
      <xdr:row>72</xdr:row>
      <xdr:rowOff>1</xdr:rowOff>
    </xdr:to>
    <xdr:graphicFrame macro="">
      <xdr:nvGraphicFramePr>
        <xdr:cNvPr id="7" name="Grafiek 6">
          <a:extLst>
            <a:ext uri="{FF2B5EF4-FFF2-40B4-BE49-F238E27FC236}">
              <a16:creationId xmlns:a16="http://schemas.microsoft.com/office/drawing/2014/main" id="{B544F184-E58F-C34C-8738-CC6CFE1BDC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46183</xdr:colOff>
      <xdr:row>90</xdr:row>
      <xdr:rowOff>80819</xdr:rowOff>
    </xdr:from>
    <xdr:to>
      <xdr:col>2</xdr:col>
      <xdr:colOff>1408546</xdr:colOff>
      <xdr:row>93</xdr:row>
      <xdr:rowOff>115454</xdr:rowOff>
    </xdr:to>
    <xdr:sp macro="" textlink="">
      <xdr:nvSpPr>
        <xdr:cNvPr id="8" name="Tekstvak 7">
          <a:extLst>
            <a:ext uri="{FF2B5EF4-FFF2-40B4-BE49-F238E27FC236}">
              <a16:creationId xmlns:a16="http://schemas.microsoft.com/office/drawing/2014/main" id="{E942169C-3621-7B42-8F4E-B3BFB9B637ED}"/>
            </a:ext>
          </a:extLst>
        </xdr:cNvPr>
        <xdr:cNvSpPr txBox="1"/>
      </xdr:nvSpPr>
      <xdr:spPr>
        <a:xfrm>
          <a:off x="46183" y="20585546"/>
          <a:ext cx="7192818" cy="6580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 integrale methode gaat uit van de totale (hernieuwbare plus niet hernieuwbare) elektriciteitsproductie in verhouding tot de aan elektriciteit toegerekende inzet van aardgas, kolen en kernenergie. Elektriciteit uit afvalverbrandingsinstallaties en restgassen wordt niet meegenomen.</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34</xdr:row>
      <xdr:rowOff>0</xdr:rowOff>
    </xdr:from>
    <xdr:to>
      <xdr:col>0</xdr:col>
      <xdr:colOff>762000</xdr:colOff>
      <xdr:row>36</xdr:row>
      <xdr:rowOff>12700</xdr:rowOff>
    </xdr:to>
    <xdr:pic>
      <xdr:nvPicPr>
        <xdr:cNvPr id="12" name="Afbeelding 11" descr="Mercedes Benz Vito">
          <a:extLst>
            <a:ext uri="{FF2B5EF4-FFF2-40B4-BE49-F238E27FC236}">
              <a16:creationId xmlns:a16="http://schemas.microsoft.com/office/drawing/2014/main" id="{7AEEE49A-E1F9-DE4F-B0E9-8A1DD5B63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9182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0</xdr:rowOff>
    </xdr:from>
    <xdr:to>
      <xdr:col>0</xdr:col>
      <xdr:colOff>762000</xdr:colOff>
      <xdr:row>38</xdr:row>
      <xdr:rowOff>12700</xdr:rowOff>
    </xdr:to>
    <xdr:pic>
      <xdr:nvPicPr>
        <xdr:cNvPr id="13" name="Afbeelding 12" descr="Volkswagen Transporter">
          <a:extLst>
            <a:ext uri="{FF2B5EF4-FFF2-40B4-BE49-F238E27FC236}">
              <a16:creationId xmlns:a16="http://schemas.microsoft.com/office/drawing/2014/main" id="{B3E5426C-BC1C-1D4A-A314-88D8395387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63246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38</xdr:row>
      <xdr:rowOff>0</xdr:rowOff>
    </xdr:from>
    <xdr:to>
      <xdr:col>0</xdr:col>
      <xdr:colOff>762000</xdr:colOff>
      <xdr:row>40</xdr:row>
      <xdr:rowOff>12700</xdr:rowOff>
    </xdr:to>
    <xdr:pic>
      <xdr:nvPicPr>
        <xdr:cNvPr id="14" name="Afbeelding 13" descr="Opel Vivaro">
          <a:extLst>
            <a:ext uri="{FF2B5EF4-FFF2-40B4-BE49-F238E27FC236}">
              <a16:creationId xmlns:a16="http://schemas.microsoft.com/office/drawing/2014/main" id="{5045856D-03D2-5D43-86E8-F26752B3D1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67310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40</xdr:row>
      <xdr:rowOff>0</xdr:rowOff>
    </xdr:from>
    <xdr:to>
      <xdr:col>0</xdr:col>
      <xdr:colOff>762000</xdr:colOff>
      <xdr:row>42</xdr:row>
      <xdr:rowOff>12700</xdr:rowOff>
    </xdr:to>
    <xdr:pic>
      <xdr:nvPicPr>
        <xdr:cNvPr id="15" name="Afbeelding 14" descr="Renault Trafic">
          <a:extLst>
            <a:ext uri="{FF2B5EF4-FFF2-40B4-BE49-F238E27FC236}">
              <a16:creationId xmlns:a16="http://schemas.microsoft.com/office/drawing/2014/main" id="{6A113B00-D4D0-C94B-94F7-D240A00F36F2}"/>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0" y="71374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42</xdr:row>
      <xdr:rowOff>0</xdr:rowOff>
    </xdr:from>
    <xdr:to>
      <xdr:col>0</xdr:col>
      <xdr:colOff>762000</xdr:colOff>
      <xdr:row>44</xdr:row>
      <xdr:rowOff>12700</xdr:rowOff>
    </xdr:to>
    <xdr:pic>
      <xdr:nvPicPr>
        <xdr:cNvPr id="16" name="Afbeelding 15" descr="Citroen Jumpy">
          <a:extLst>
            <a:ext uri="{FF2B5EF4-FFF2-40B4-BE49-F238E27FC236}">
              <a16:creationId xmlns:a16="http://schemas.microsoft.com/office/drawing/2014/main" id="{BBF594EA-36E1-8A4B-8267-4779407D2D4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75438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44</xdr:row>
      <xdr:rowOff>0</xdr:rowOff>
    </xdr:from>
    <xdr:to>
      <xdr:col>0</xdr:col>
      <xdr:colOff>762000</xdr:colOff>
      <xdr:row>46</xdr:row>
      <xdr:rowOff>101600</xdr:rowOff>
    </xdr:to>
    <xdr:pic>
      <xdr:nvPicPr>
        <xdr:cNvPr id="17" name="Afbeelding 16" descr="Peugeot Expert">
          <a:extLst>
            <a:ext uri="{FF2B5EF4-FFF2-40B4-BE49-F238E27FC236}">
              <a16:creationId xmlns:a16="http://schemas.microsoft.com/office/drawing/2014/main" id="{6D5BFD15-DF2C-3A4E-BDB7-7E3CDDD0323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0" y="79502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46</xdr:row>
      <xdr:rowOff>0</xdr:rowOff>
    </xdr:from>
    <xdr:to>
      <xdr:col>0</xdr:col>
      <xdr:colOff>762000</xdr:colOff>
      <xdr:row>48</xdr:row>
      <xdr:rowOff>101600</xdr:rowOff>
    </xdr:to>
    <xdr:pic>
      <xdr:nvPicPr>
        <xdr:cNvPr id="18" name="Afbeelding 17" descr="Toyota PROACE">
          <a:extLst>
            <a:ext uri="{FF2B5EF4-FFF2-40B4-BE49-F238E27FC236}">
              <a16:creationId xmlns:a16="http://schemas.microsoft.com/office/drawing/2014/main" id="{074F6756-48FD-5840-9029-3626155EE2B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0" y="83566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48</xdr:row>
      <xdr:rowOff>0</xdr:rowOff>
    </xdr:from>
    <xdr:to>
      <xdr:col>0</xdr:col>
      <xdr:colOff>762000</xdr:colOff>
      <xdr:row>50</xdr:row>
      <xdr:rowOff>12700</xdr:rowOff>
    </xdr:to>
    <xdr:pic>
      <xdr:nvPicPr>
        <xdr:cNvPr id="19" name="Afbeelding 18" descr="Ford Transit">
          <a:extLst>
            <a:ext uri="{FF2B5EF4-FFF2-40B4-BE49-F238E27FC236}">
              <a16:creationId xmlns:a16="http://schemas.microsoft.com/office/drawing/2014/main" id="{2AE829D4-F3F1-8D41-9B85-664111DFC56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0" y="87630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58</xdr:row>
      <xdr:rowOff>0</xdr:rowOff>
    </xdr:from>
    <xdr:to>
      <xdr:col>0</xdr:col>
      <xdr:colOff>762000</xdr:colOff>
      <xdr:row>60</xdr:row>
      <xdr:rowOff>12700</xdr:rowOff>
    </xdr:to>
    <xdr:pic>
      <xdr:nvPicPr>
        <xdr:cNvPr id="20" name="Afbeelding 19" descr="Fiat Ducato">
          <a:extLst>
            <a:ext uri="{FF2B5EF4-FFF2-40B4-BE49-F238E27FC236}">
              <a16:creationId xmlns:a16="http://schemas.microsoft.com/office/drawing/2014/main" id="{B6017A1F-7C24-714D-9DDA-C85B8B770121}"/>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110617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60</xdr:row>
      <xdr:rowOff>0</xdr:rowOff>
    </xdr:from>
    <xdr:to>
      <xdr:col>0</xdr:col>
      <xdr:colOff>762000</xdr:colOff>
      <xdr:row>62</xdr:row>
      <xdr:rowOff>12700</xdr:rowOff>
    </xdr:to>
    <xdr:pic>
      <xdr:nvPicPr>
        <xdr:cNvPr id="21" name="Afbeelding 20" descr="Mercedes-Benz Sprinter">
          <a:extLst>
            <a:ext uri="{FF2B5EF4-FFF2-40B4-BE49-F238E27FC236}">
              <a16:creationId xmlns:a16="http://schemas.microsoft.com/office/drawing/2014/main" id="{96510265-716C-9849-9988-B06562595F6B}"/>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0" y="114681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62</xdr:row>
      <xdr:rowOff>0</xdr:rowOff>
    </xdr:from>
    <xdr:to>
      <xdr:col>0</xdr:col>
      <xdr:colOff>762000</xdr:colOff>
      <xdr:row>64</xdr:row>
      <xdr:rowOff>101600</xdr:rowOff>
    </xdr:to>
    <xdr:pic>
      <xdr:nvPicPr>
        <xdr:cNvPr id="22" name="Afbeelding 21" descr="Volkswagen Crafter">
          <a:extLst>
            <a:ext uri="{FF2B5EF4-FFF2-40B4-BE49-F238E27FC236}">
              <a16:creationId xmlns:a16="http://schemas.microsoft.com/office/drawing/2014/main" id="{F48BDFCB-FF7F-E947-AB7F-630FE3E5E233}"/>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0" y="118745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64</xdr:row>
      <xdr:rowOff>0</xdr:rowOff>
    </xdr:from>
    <xdr:to>
      <xdr:col>0</xdr:col>
      <xdr:colOff>762000</xdr:colOff>
      <xdr:row>66</xdr:row>
      <xdr:rowOff>101600</xdr:rowOff>
    </xdr:to>
    <xdr:pic>
      <xdr:nvPicPr>
        <xdr:cNvPr id="23" name="Afbeelding 22" descr="Citroen Jumper">
          <a:extLst>
            <a:ext uri="{FF2B5EF4-FFF2-40B4-BE49-F238E27FC236}">
              <a16:creationId xmlns:a16="http://schemas.microsoft.com/office/drawing/2014/main" id="{4BD91B07-83BD-B94B-9430-53155D51247A}"/>
            </a:ext>
          </a:extLst>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0" y="122809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66</xdr:row>
      <xdr:rowOff>0</xdr:rowOff>
    </xdr:from>
    <xdr:to>
      <xdr:col>0</xdr:col>
      <xdr:colOff>762000</xdr:colOff>
      <xdr:row>68</xdr:row>
      <xdr:rowOff>12700</xdr:rowOff>
    </xdr:to>
    <xdr:pic>
      <xdr:nvPicPr>
        <xdr:cNvPr id="24" name="Afbeelding 23" descr="Peugeot Boxer">
          <a:extLst>
            <a:ext uri="{FF2B5EF4-FFF2-40B4-BE49-F238E27FC236}">
              <a16:creationId xmlns:a16="http://schemas.microsoft.com/office/drawing/2014/main" id="{1E848730-76CB-2C40-A12D-7C628177FBD9}"/>
            </a:ext>
          </a:extLst>
        </xdr:cNvPr>
        <xdr:cNvPicPr>
          <a:picLocks noChangeAspect="1" noChangeArrowheads="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0" y="126873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68</xdr:row>
      <xdr:rowOff>0</xdr:rowOff>
    </xdr:from>
    <xdr:to>
      <xdr:col>0</xdr:col>
      <xdr:colOff>762000</xdr:colOff>
      <xdr:row>70</xdr:row>
      <xdr:rowOff>12700</xdr:rowOff>
    </xdr:to>
    <xdr:pic>
      <xdr:nvPicPr>
        <xdr:cNvPr id="25" name="Afbeelding 24" descr="Renault Master">
          <a:extLst>
            <a:ext uri="{FF2B5EF4-FFF2-40B4-BE49-F238E27FC236}">
              <a16:creationId xmlns:a16="http://schemas.microsoft.com/office/drawing/2014/main" id="{783B3E0E-61F0-A545-9428-AD04D365C953}"/>
            </a:ext>
          </a:extLst>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0" y="130937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70</xdr:row>
      <xdr:rowOff>0</xdr:rowOff>
    </xdr:from>
    <xdr:to>
      <xdr:col>0</xdr:col>
      <xdr:colOff>762000</xdr:colOff>
      <xdr:row>72</xdr:row>
      <xdr:rowOff>101600</xdr:rowOff>
    </xdr:to>
    <xdr:pic>
      <xdr:nvPicPr>
        <xdr:cNvPr id="26" name="Afbeelding 25" descr="Opel Movano">
          <a:extLst>
            <a:ext uri="{FF2B5EF4-FFF2-40B4-BE49-F238E27FC236}">
              <a16:creationId xmlns:a16="http://schemas.microsoft.com/office/drawing/2014/main" id="{D0927437-42E1-D443-8890-52DC8C46B217}"/>
            </a:ext>
          </a:extLst>
        </xdr:cNvPr>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0" y="135001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xdr:row>
      <xdr:rowOff>0</xdr:rowOff>
    </xdr:from>
    <xdr:to>
      <xdr:col>0</xdr:col>
      <xdr:colOff>762000</xdr:colOff>
      <xdr:row>7</xdr:row>
      <xdr:rowOff>0</xdr:rowOff>
    </xdr:to>
    <xdr:pic>
      <xdr:nvPicPr>
        <xdr:cNvPr id="67" name="Afbeelding 66" descr="Ford Transit Courier">
          <a:extLst>
            <a:ext uri="{FF2B5EF4-FFF2-40B4-BE49-F238E27FC236}">
              <a16:creationId xmlns:a16="http://schemas.microsoft.com/office/drawing/2014/main" id="{749EA7A3-0615-0F4B-859B-901CA83D81D1}"/>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0" y="14224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xdr:row>
      <xdr:rowOff>0</xdr:rowOff>
    </xdr:from>
    <xdr:to>
      <xdr:col>0</xdr:col>
      <xdr:colOff>762000</xdr:colOff>
      <xdr:row>9</xdr:row>
      <xdr:rowOff>0</xdr:rowOff>
    </xdr:to>
    <xdr:pic>
      <xdr:nvPicPr>
        <xdr:cNvPr id="68" name="Afbeelding 67" descr="Citroen Nemo">
          <a:extLst>
            <a:ext uri="{FF2B5EF4-FFF2-40B4-BE49-F238E27FC236}">
              <a16:creationId xmlns:a16="http://schemas.microsoft.com/office/drawing/2014/main" id="{2C21FC16-1FFC-3A48-838B-E0C91325649D}"/>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0" y="18415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0</xdr:rowOff>
    </xdr:from>
    <xdr:to>
      <xdr:col>0</xdr:col>
      <xdr:colOff>762000</xdr:colOff>
      <xdr:row>10</xdr:row>
      <xdr:rowOff>203200</xdr:rowOff>
    </xdr:to>
    <xdr:pic>
      <xdr:nvPicPr>
        <xdr:cNvPr id="69" name="Afbeelding 68" descr="Fiat Fiorino">
          <a:extLst>
            <a:ext uri="{FF2B5EF4-FFF2-40B4-BE49-F238E27FC236}">
              <a16:creationId xmlns:a16="http://schemas.microsoft.com/office/drawing/2014/main" id="{A154AB3E-5715-8349-BF9A-7E6B5E5D1C49}"/>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0" y="22606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11</xdr:row>
      <xdr:rowOff>0</xdr:rowOff>
    </xdr:from>
    <xdr:to>
      <xdr:col>0</xdr:col>
      <xdr:colOff>762000</xdr:colOff>
      <xdr:row>13</xdr:row>
      <xdr:rowOff>76200</xdr:rowOff>
    </xdr:to>
    <xdr:pic>
      <xdr:nvPicPr>
        <xdr:cNvPr id="70" name="Afbeelding 69" descr="Peugeot Bipper">
          <a:extLst>
            <a:ext uri="{FF2B5EF4-FFF2-40B4-BE49-F238E27FC236}">
              <a16:creationId xmlns:a16="http://schemas.microsoft.com/office/drawing/2014/main" id="{4F184377-7139-714C-B4FC-C662312A824B}"/>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a:fillRect/>
        </a:stretch>
      </xdr:blipFill>
      <xdr:spPr bwMode="auto">
        <a:xfrm>
          <a:off x="0" y="26924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xdr:row>
      <xdr:rowOff>0</xdr:rowOff>
    </xdr:from>
    <xdr:to>
      <xdr:col>0</xdr:col>
      <xdr:colOff>762000</xdr:colOff>
      <xdr:row>14</xdr:row>
      <xdr:rowOff>203200</xdr:rowOff>
    </xdr:to>
    <xdr:pic>
      <xdr:nvPicPr>
        <xdr:cNvPr id="71" name="Afbeelding 70" descr="Mercedes-Benz Citan">
          <a:extLst>
            <a:ext uri="{FF2B5EF4-FFF2-40B4-BE49-F238E27FC236}">
              <a16:creationId xmlns:a16="http://schemas.microsoft.com/office/drawing/2014/main" id="{732E6CE2-54D5-344A-AA9D-D78071CFED80}"/>
            </a:ext>
          </a:extLst>
        </xdr:cNvPr>
        <xdr:cNvPicPr>
          <a:picLocks noChangeAspect="1" noChangeArrowheads="1"/>
        </xdr:cNvPicPr>
      </xdr:nvPicPr>
      <xdr:blipFill>
        <a:blip xmlns:r="http://schemas.openxmlformats.org/officeDocument/2006/relationships" r:embed="rId20">
          <a:extLst>
            <a:ext uri="{28A0092B-C50C-407E-A947-70E740481C1C}">
              <a14:useLocalDpi xmlns:a14="http://schemas.microsoft.com/office/drawing/2010/main" val="0"/>
            </a:ext>
          </a:extLst>
        </a:blip>
        <a:srcRect/>
        <a:stretch>
          <a:fillRect/>
        </a:stretch>
      </xdr:blipFill>
      <xdr:spPr bwMode="auto">
        <a:xfrm>
          <a:off x="0" y="31242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15</xdr:row>
      <xdr:rowOff>0</xdr:rowOff>
    </xdr:from>
    <xdr:to>
      <xdr:col>0</xdr:col>
      <xdr:colOff>762000</xdr:colOff>
      <xdr:row>17</xdr:row>
      <xdr:rowOff>0</xdr:rowOff>
    </xdr:to>
    <xdr:pic>
      <xdr:nvPicPr>
        <xdr:cNvPr id="72" name="Afbeelding 71" descr="Renault Kangoo">
          <a:extLst>
            <a:ext uri="{FF2B5EF4-FFF2-40B4-BE49-F238E27FC236}">
              <a16:creationId xmlns:a16="http://schemas.microsoft.com/office/drawing/2014/main" id="{2F9CE409-238D-F942-B73B-A0875B590DCF}"/>
            </a:ext>
          </a:extLst>
        </xdr:cNvPr>
        <xdr:cNvPicPr>
          <a:picLocks noChangeAspect="1" noChangeArrowheads="1"/>
        </xdr:cNvPicPr>
      </xdr:nvPicPr>
      <xdr:blipFill>
        <a:blip xmlns:r="http://schemas.openxmlformats.org/officeDocument/2006/relationships" r:embed="rId21">
          <a:extLst>
            <a:ext uri="{28A0092B-C50C-407E-A947-70E740481C1C}">
              <a14:useLocalDpi xmlns:a14="http://schemas.microsoft.com/office/drawing/2010/main" val="0"/>
            </a:ext>
          </a:extLst>
        </a:blip>
        <a:srcRect/>
        <a:stretch>
          <a:fillRect/>
        </a:stretch>
      </xdr:blipFill>
      <xdr:spPr bwMode="auto">
        <a:xfrm>
          <a:off x="0" y="35560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0</xdr:rowOff>
    </xdr:from>
    <xdr:to>
      <xdr:col>0</xdr:col>
      <xdr:colOff>762000</xdr:colOff>
      <xdr:row>19</xdr:row>
      <xdr:rowOff>12700</xdr:rowOff>
    </xdr:to>
    <xdr:pic>
      <xdr:nvPicPr>
        <xdr:cNvPr id="73" name="Afbeelding 72" descr="Fiat Doblo Cargo">
          <a:extLst>
            <a:ext uri="{FF2B5EF4-FFF2-40B4-BE49-F238E27FC236}">
              <a16:creationId xmlns:a16="http://schemas.microsoft.com/office/drawing/2014/main" id="{78D6EDAE-3CB5-E346-8C82-608BF717684C}"/>
            </a:ext>
          </a:extLst>
        </xdr:cNvPr>
        <xdr:cNvPicPr>
          <a:picLocks noChangeAspect="1" noChangeArrowheads="1"/>
        </xdr:cNvPicPr>
      </xdr:nvPicPr>
      <xdr:blipFill>
        <a:blip xmlns:r="http://schemas.openxmlformats.org/officeDocument/2006/relationships" r:embed="rId22">
          <a:extLst>
            <a:ext uri="{28A0092B-C50C-407E-A947-70E740481C1C}">
              <a14:useLocalDpi xmlns:a14="http://schemas.microsoft.com/office/drawing/2010/main" val="0"/>
            </a:ext>
          </a:extLst>
        </a:blip>
        <a:srcRect/>
        <a:stretch>
          <a:fillRect/>
        </a:stretch>
      </xdr:blipFill>
      <xdr:spPr bwMode="auto">
        <a:xfrm>
          <a:off x="0" y="39751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19</xdr:row>
      <xdr:rowOff>0</xdr:rowOff>
    </xdr:from>
    <xdr:to>
      <xdr:col>0</xdr:col>
      <xdr:colOff>762000</xdr:colOff>
      <xdr:row>21</xdr:row>
      <xdr:rowOff>12700</xdr:rowOff>
    </xdr:to>
    <xdr:pic>
      <xdr:nvPicPr>
        <xdr:cNvPr id="74" name="Afbeelding 73" descr="Volkswagen Caddy">
          <a:extLst>
            <a:ext uri="{FF2B5EF4-FFF2-40B4-BE49-F238E27FC236}">
              <a16:creationId xmlns:a16="http://schemas.microsoft.com/office/drawing/2014/main" id="{A251B7BD-1B7A-E249-84D4-BFFBD3E41F1A}"/>
            </a:ext>
          </a:extLst>
        </xdr:cNvPr>
        <xdr:cNvPicPr>
          <a:picLocks noChangeAspect="1" noChangeArrowheads="1"/>
        </xdr:cNvPicPr>
      </xdr:nvPicPr>
      <xdr:blipFill>
        <a:blip xmlns:r="http://schemas.openxmlformats.org/officeDocument/2006/relationships" r:embed="rId23">
          <a:extLst>
            <a:ext uri="{28A0092B-C50C-407E-A947-70E740481C1C}">
              <a14:useLocalDpi xmlns:a14="http://schemas.microsoft.com/office/drawing/2010/main" val="0"/>
            </a:ext>
          </a:extLst>
        </a:blip>
        <a:srcRect/>
        <a:stretch>
          <a:fillRect/>
        </a:stretch>
      </xdr:blipFill>
      <xdr:spPr bwMode="auto">
        <a:xfrm>
          <a:off x="0" y="43815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21</xdr:row>
      <xdr:rowOff>0</xdr:rowOff>
    </xdr:from>
    <xdr:to>
      <xdr:col>0</xdr:col>
      <xdr:colOff>762000</xdr:colOff>
      <xdr:row>23</xdr:row>
      <xdr:rowOff>12700</xdr:rowOff>
    </xdr:to>
    <xdr:pic>
      <xdr:nvPicPr>
        <xdr:cNvPr id="75" name="Afbeelding 74" descr="Citroen Berlingo">
          <a:extLst>
            <a:ext uri="{FF2B5EF4-FFF2-40B4-BE49-F238E27FC236}">
              <a16:creationId xmlns:a16="http://schemas.microsoft.com/office/drawing/2014/main" id="{7A2A97B4-7473-614D-819E-48AB2281D650}"/>
            </a:ext>
          </a:extLst>
        </xdr:cNvPr>
        <xdr:cNvPicPr>
          <a:picLocks noChangeAspect="1" noChangeArrowheads="1"/>
        </xdr:cNvPicPr>
      </xdr:nvPicPr>
      <xdr:blipFill>
        <a:blip xmlns:r="http://schemas.openxmlformats.org/officeDocument/2006/relationships" r:embed="rId24">
          <a:extLst>
            <a:ext uri="{28A0092B-C50C-407E-A947-70E740481C1C}">
              <a14:useLocalDpi xmlns:a14="http://schemas.microsoft.com/office/drawing/2010/main" val="0"/>
            </a:ext>
          </a:extLst>
        </a:blip>
        <a:srcRect/>
        <a:stretch>
          <a:fillRect/>
        </a:stretch>
      </xdr:blipFill>
      <xdr:spPr bwMode="auto">
        <a:xfrm>
          <a:off x="0" y="4787900"/>
          <a:ext cx="76200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23</xdr:row>
      <xdr:rowOff>0</xdr:rowOff>
    </xdr:from>
    <xdr:to>
      <xdr:col>0</xdr:col>
      <xdr:colOff>762000</xdr:colOff>
      <xdr:row>25</xdr:row>
      <xdr:rowOff>101600</xdr:rowOff>
    </xdr:to>
    <xdr:pic>
      <xdr:nvPicPr>
        <xdr:cNvPr id="76" name="Afbeelding 75" descr="Peugeot Partner">
          <a:extLst>
            <a:ext uri="{FF2B5EF4-FFF2-40B4-BE49-F238E27FC236}">
              <a16:creationId xmlns:a16="http://schemas.microsoft.com/office/drawing/2014/main" id="{93219DEF-B8DF-B643-9898-DEBF697B5EBF}"/>
            </a:ext>
          </a:extLst>
        </xdr:cNvPr>
        <xdr:cNvPicPr>
          <a:picLocks noChangeAspect="1" noChangeArrowheads="1"/>
        </xdr:cNvPicPr>
      </xdr:nvPicPr>
      <xdr:blipFill>
        <a:blip xmlns:r="http://schemas.openxmlformats.org/officeDocument/2006/relationships" r:embed="rId25">
          <a:extLst>
            <a:ext uri="{28A0092B-C50C-407E-A947-70E740481C1C}">
              <a14:useLocalDpi xmlns:a14="http://schemas.microsoft.com/office/drawing/2010/main" val="0"/>
            </a:ext>
          </a:extLst>
        </a:blip>
        <a:srcRect/>
        <a:stretch>
          <a:fillRect/>
        </a:stretch>
      </xdr:blipFill>
      <xdr:spPr bwMode="auto">
        <a:xfrm>
          <a:off x="0" y="5194300"/>
          <a:ext cx="76200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69</xdr:row>
      <xdr:rowOff>0</xdr:rowOff>
    </xdr:from>
    <xdr:to>
      <xdr:col>8</xdr:col>
      <xdr:colOff>139700</xdr:colOff>
      <xdr:row>69</xdr:row>
      <xdr:rowOff>139700</xdr:rowOff>
    </xdr:to>
    <xdr:pic>
      <xdr:nvPicPr>
        <xdr:cNvPr id="2" name="Afbeelding 1" descr="Decrease">
          <a:extLst>
            <a:ext uri="{FF2B5EF4-FFF2-40B4-BE49-F238E27FC236}">
              <a16:creationId xmlns:a16="http://schemas.microsoft.com/office/drawing/2014/main" id="{C59498ED-593D-1E4C-A176-6BD4239FC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9400" y="9601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70</xdr:row>
      <xdr:rowOff>0</xdr:rowOff>
    </xdr:from>
    <xdr:to>
      <xdr:col>8</xdr:col>
      <xdr:colOff>139700</xdr:colOff>
      <xdr:row>70</xdr:row>
      <xdr:rowOff>139700</xdr:rowOff>
    </xdr:to>
    <xdr:pic>
      <xdr:nvPicPr>
        <xdr:cNvPr id="3" name="Afbeelding 2" descr="Increase">
          <a:extLst>
            <a:ext uri="{FF2B5EF4-FFF2-40B4-BE49-F238E27FC236}">
              <a16:creationId xmlns:a16="http://schemas.microsoft.com/office/drawing/2014/main" id="{2DD5303C-AB1E-2347-B4DD-F007AFC0CF7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39400" y="9829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71</xdr:row>
      <xdr:rowOff>0</xdr:rowOff>
    </xdr:from>
    <xdr:to>
      <xdr:col>8</xdr:col>
      <xdr:colOff>139700</xdr:colOff>
      <xdr:row>71</xdr:row>
      <xdr:rowOff>139700</xdr:rowOff>
    </xdr:to>
    <xdr:pic>
      <xdr:nvPicPr>
        <xdr:cNvPr id="4" name="Afbeelding 3" descr="Decrease">
          <a:extLst>
            <a:ext uri="{FF2B5EF4-FFF2-40B4-BE49-F238E27FC236}">
              <a16:creationId xmlns:a16="http://schemas.microsoft.com/office/drawing/2014/main" id="{140C5C63-52FA-0C4A-B55E-DACCEB95C4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39400" y="10058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72</xdr:row>
      <xdr:rowOff>0</xdr:rowOff>
    </xdr:from>
    <xdr:to>
      <xdr:col>8</xdr:col>
      <xdr:colOff>139700</xdr:colOff>
      <xdr:row>72</xdr:row>
      <xdr:rowOff>139700</xdr:rowOff>
    </xdr:to>
    <xdr:pic>
      <xdr:nvPicPr>
        <xdr:cNvPr id="5" name="Afbeelding 4" descr="Increase">
          <a:extLst>
            <a:ext uri="{FF2B5EF4-FFF2-40B4-BE49-F238E27FC236}">
              <a16:creationId xmlns:a16="http://schemas.microsoft.com/office/drawing/2014/main" id="{20E6B38F-13B2-7B4F-8B56-41208349E3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39400" y="10287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73</xdr:row>
      <xdr:rowOff>0</xdr:rowOff>
    </xdr:from>
    <xdr:to>
      <xdr:col>8</xdr:col>
      <xdr:colOff>139700</xdr:colOff>
      <xdr:row>73</xdr:row>
      <xdr:rowOff>139700</xdr:rowOff>
    </xdr:to>
    <xdr:pic>
      <xdr:nvPicPr>
        <xdr:cNvPr id="6" name="Afbeelding 5" descr="Increase">
          <a:extLst>
            <a:ext uri="{FF2B5EF4-FFF2-40B4-BE49-F238E27FC236}">
              <a16:creationId xmlns:a16="http://schemas.microsoft.com/office/drawing/2014/main" id="{DC4EBA36-92D2-2D40-B6AA-CEB3318E04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439400" y="10515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49</xdr:row>
      <xdr:rowOff>0</xdr:rowOff>
    </xdr:from>
    <xdr:to>
      <xdr:col>8</xdr:col>
      <xdr:colOff>139700</xdr:colOff>
      <xdr:row>49</xdr:row>
      <xdr:rowOff>139700</xdr:rowOff>
    </xdr:to>
    <xdr:pic>
      <xdr:nvPicPr>
        <xdr:cNvPr id="7" name="Afbeelding 6" descr="Increase">
          <a:extLst>
            <a:ext uri="{FF2B5EF4-FFF2-40B4-BE49-F238E27FC236}">
              <a16:creationId xmlns:a16="http://schemas.microsoft.com/office/drawing/2014/main" id="{29DEA5E4-1CA9-8A46-8B25-6C13A4CDF3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9804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50</xdr:row>
      <xdr:rowOff>0</xdr:rowOff>
    </xdr:from>
    <xdr:to>
      <xdr:col>8</xdr:col>
      <xdr:colOff>139700</xdr:colOff>
      <xdr:row>50</xdr:row>
      <xdr:rowOff>139700</xdr:rowOff>
    </xdr:to>
    <xdr:pic>
      <xdr:nvPicPr>
        <xdr:cNvPr id="8" name="Afbeelding 7" descr="Decrease">
          <a:extLst>
            <a:ext uri="{FF2B5EF4-FFF2-40B4-BE49-F238E27FC236}">
              <a16:creationId xmlns:a16="http://schemas.microsoft.com/office/drawing/2014/main" id="{B78E479A-2C07-5549-B2BE-2C7FFE846E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0033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51</xdr:row>
      <xdr:rowOff>0</xdr:rowOff>
    </xdr:from>
    <xdr:to>
      <xdr:col>8</xdr:col>
      <xdr:colOff>139700</xdr:colOff>
      <xdr:row>51</xdr:row>
      <xdr:rowOff>139700</xdr:rowOff>
    </xdr:to>
    <xdr:pic>
      <xdr:nvPicPr>
        <xdr:cNvPr id="9" name="Afbeelding 8" descr="Increase">
          <a:extLst>
            <a:ext uri="{FF2B5EF4-FFF2-40B4-BE49-F238E27FC236}">
              <a16:creationId xmlns:a16="http://schemas.microsoft.com/office/drawing/2014/main" id="{51C99CE4-5EEC-5240-9F59-3204D4E387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0261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52</xdr:row>
      <xdr:rowOff>0</xdr:rowOff>
    </xdr:from>
    <xdr:to>
      <xdr:col>8</xdr:col>
      <xdr:colOff>139700</xdr:colOff>
      <xdr:row>52</xdr:row>
      <xdr:rowOff>139700</xdr:rowOff>
    </xdr:to>
    <xdr:pic>
      <xdr:nvPicPr>
        <xdr:cNvPr id="10" name="Afbeelding 9" descr="Increase">
          <a:extLst>
            <a:ext uri="{FF2B5EF4-FFF2-40B4-BE49-F238E27FC236}">
              <a16:creationId xmlns:a16="http://schemas.microsoft.com/office/drawing/2014/main" id="{C6B8480B-2A66-2447-B935-5FB821B64E4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0490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53</xdr:row>
      <xdr:rowOff>0</xdr:rowOff>
    </xdr:from>
    <xdr:to>
      <xdr:col>8</xdr:col>
      <xdr:colOff>139700</xdr:colOff>
      <xdr:row>53</xdr:row>
      <xdr:rowOff>139700</xdr:rowOff>
    </xdr:to>
    <xdr:pic>
      <xdr:nvPicPr>
        <xdr:cNvPr id="11" name="Afbeelding 10" descr="Increase">
          <a:extLst>
            <a:ext uri="{FF2B5EF4-FFF2-40B4-BE49-F238E27FC236}">
              <a16:creationId xmlns:a16="http://schemas.microsoft.com/office/drawing/2014/main" id="{2C0B7D2D-51CD-594F-B19D-E8025EA55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0718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57</xdr:row>
      <xdr:rowOff>0</xdr:rowOff>
    </xdr:from>
    <xdr:to>
      <xdr:col>8</xdr:col>
      <xdr:colOff>139700</xdr:colOff>
      <xdr:row>57</xdr:row>
      <xdr:rowOff>139700</xdr:rowOff>
    </xdr:to>
    <xdr:pic>
      <xdr:nvPicPr>
        <xdr:cNvPr id="17" name="Afbeelding 16" descr="Increase">
          <a:extLst>
            <a:ext uri="{FF2B5EF4-FFF2-40B4-BE49-F238E27FC236}">
              <a16:creationId xmlns:a16="http://schemas.microsoft.com/office/drawing/2014/main" id="{A854E87E-2AAD-D54A-99F9-2B9D10B8C6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24587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58</xdr:row>
      <xdr:rowOff>0</xdr:rowOff>
    </xdr:from>
    <xdr:to>
      <xdr:col>8</xdr:col>
      <xdr:colOff>139700</xdr:colOff>
      <xdr:row>58</xdr:row>
      <xdr:rowOff>139700</xdr:rowOff>
    </xdr:to>
    <xdr:pic>
      <xdr:nvPicPr>
        <xdr:cNvPr id="18" name="Afbeelding 17" descr="Decrease">
          <a:extLst>
            <a:ext uri="{FF2B5EF4-FFF2-40B4-BE49-F238E27FC236}">
              <a16:creationId xmlns:a16="http://schemas.microsoft.com/office/drawing/2014/main" id="{047682FC-451D-CA4D-88CF-8705510A0F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2674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59</xdr:row>
      <xdr:rowOff>0</xdr:rowOff>
    </xdr:from>
    <xdr:to>
      <xdr:col>8</xdr:col>
      <xdr:colOff>139700</xdr:colOff>
      <xdr:row>59</xdr:row>
      <xdr:rowOff>139700</xdr:rowOff>
    </xdr:to>
    <xdr:pic>
      <xdr:nvPicPr>
        <xdr:cNvPr id="19" name="Afbeelding 18" descr="Decrease">
          <a:extLst>
            <a:ext uri="{FF2B5EF4-FFF2-40B4-BE49-F238E27FC236}">
              <a16:creationId xmlns:a16="http://schemas.microsoft.com/office/drawing/2014/main" id="{0D5C67E0-434C-FB4C-8388-E62DADE5F0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28905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60</xdr:row>
      <xdr:rowOff>0</xdr:rowOff>
    </xdr:from>
    <xdr:to>
      <xdr:col>8</xdr:col>
      <xdr:colOff>139700</xdr:colOff>
      <xdr:row>60</xdr:row>
      <xdr:rowOff>139700</xdr:rowOff>
    </xdr:to>
    <xdr:pic>
      <xdr:nvPicPr>
        <xdr:cNvPr id="20" name="Afbeelding 19" descr="Decrease">
          <a:extLst>
            <a:ext uri="{FF2B5EF4-FFF2-40B4-BE49-F238E27FC236}">
              <a16:creationId xmlns:a16="http://schemas.microsoft.com/office/drawing/2014/main" id="{FECDDBE6-00DA-CF47-88A3-4AF7F3E1DE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31191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61</xdr:row>
      <xdr:rowOff>0</xdr:rowOff>
    </xdr:from>
    <xdr:to>
      <xdr:col>8</xdr:col>
      <xdr:colOff>139700</xdr:colOff>
      <xdr:row>61</xdr:row>
      <xdr:rowOff>139700</xdr:rowOff>
    </xdr:to>
    <xdr:pic>
      <xdr:nvPicPr>
        <xdr:cNvPr id="21" name="Afbeelding 20" descr="Decrease">
          <a:extLst>
            <a:ext uri="{FF2B5EF4-FFF2-40B4-BE49-F238E27FC236}">
              <a16:creationId xmlns:a16="http://schemas.microsoft.com/office/drawing/2014/main" id="{06932267-54CC-AB48-925A-9BB14C07F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3335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77</xdr:row>
      <xdr:rowOff>0</xdr:rowOff>
    </xdr:from>
    <xdr:to>
      <xdr:col>8</xdr:col>
      <xdr:colOff>139700</xdr:colOff>
      <xdr:row>77</xdr:row>
      <xdr:rowOff>139700</xdr:rowOff>
    </xdr:to>
    <xdr:pic>
      <xdr:nvPicPr>
        <xdr:cNvPr id="22" name="Afbeelding 21" descr="Decrease">
          <a:extLst>
            <a:ext uri="{FF2B5EF4-FFF2-40B4-BE49-F238E27FC236}">
              <a16:creationId xmlns:a16="http://schemas.microsoft.com/office/drawing/2014/main" id="{F9F8490F-2E58-1943-A20A-C51A6FB48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5976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78</xdr:row>
      <xdr:rowOff>0</xdr:rowOff>
    </xdr:from>
    <xdr:to>
      <xdr:col>8</xdr:col>
      <xdr:colOff>139700</xdr:colOff>
      <xdr:row>78</xdr:row>
      <xdr:rowOff>139700</xdr:rowOff>
    </xdr:to>
    <xdr:pic>
      <xdr:nvPicPr>
        <xdr:cNvPr id="23" name="Afbeelding 22" descr="Decrease">
          <a:extLst>
            <a:ext uri="{FF2B5EF4-FFF2-40B4-BE49-F238E27FC236}">
              <a16:creationId xmlns:a16="http://schemas.microsoft.com/office/drawing/2014/main" id="{55D763C2-B0C6-4D4D-8350-9A9E1611D9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6205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79</xdr:row>
      <xdr:rowOff>0</xdr:rowOff>
    </xdr:from>
    <xdr:to>
      <xdr:col>8</xdr:col>
      <xdr:colOff>139700</xdr:colOff>
      <xdr:row>79</xdr:row>
      <xdr:rowOff>139700</xdr:rowOff>
    </xdr:to>
    <xdr:pic>
      <xdr:nvPicPr>
        <xdr:cNvPr id="24" name="Afbeelding 23" descr="Decrease">
          <a:extLst>
            <a:ext uri="{FF2B5EF4-FFF2-40B4-BE49-F238E27FC236}">
              <a16:creationId xmlns:a16="http://schemas.microsoft.com/office/drawing/2014/main" id="{1F634DA6-8DAE-ED42-BE45-7A3E86A0EE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6433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80</xdr:row>
      <xdr:rowOff>0</xdr:rowOff>
    </xdr:from>
    <xdr:to>
      <xdr:col>8</xdr:col>
      <xdr:colOff>139700</xdr:colOff>
      <xdr:row>80</xdr:row>
      <xdr:rowOff>139700</xdr:rowOff>
    </xdr:to>
    <xdr:pic>
      <xdr:nvPicPr>
        <xdr:cNvPr id="25" name="Afbeelding 24" descr="Decrease">
          <a:extLst>
            <a:ext uri="{FF2B5EF4-FFF2-40B4-BE49-F238E27FC236}">
              <a16:creationId xmlns:a16="http://schemas.microsoft.com/office/drawing/2014/main" id="{15575D88-0847-2C48-A5D9-C490DA9AF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6662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81</xdr:row>
      <xdr:rowOff>0</xdr:rowOff>
    </xdr:from>
    <xdr:to>
      <xdr:col>8</xdr:col>
      <xdr:colOff>139700</xdr:colOff>
      <xdr:row>81</xdr:row>
      <xdr:rowOff>139700</xdr:rowOff>
    </xdr:to>
    <xdr:pic>
      <xdr:nvPicPr>
        <xdr:cNvPr id="26" name="Afbeelding 25" descr="Decrease">
          <a:extLst>
            <a:ext uri="{FF2B5EF4-FFF2-40B4-BE49-F238E27FC236}">
              <a16:creationId xmlns:a16="http://schemas.microsoft.com/office/drawing/2014/main" id="{41E66410-081E-0A49-A93A-5F9A498679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6891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86</xdr:row>
      <xdr:rowOff>0</xdr:rowOff>
    </xdr:from>
    <xdr:to>
      <xdr:col>8</xdr:col>
      <xdr:colOff>139700</xdr:colOff>
      <xdr:row>86</xdr:row>
      <xdr:rowOff>139700</xdr:rowOff>
    </xdr:to>
    <xdr:pic>
      <xdr:nvPicPr>
        <xdr:cNvPr id="27" name="Afbeelding 26" descr="Increase">
          <a:extLst>
            <a:ext uri="{FF2B5EF4-FFF2-40B4-BE49-F238E27FC236}">
              <a16:creationId xmlns:a16="http://schemas.microsoft.com/office/drawing/2014/main" id="{F3CF594E-8514-AE40-AB57-30B5FDD86E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7983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87</xdr:row>
      <xdr:rowOff>0</xdr:rowOff>
    </xdr:from>
    <xdr:to>
      <xdr:col>8</xdr:col>
      <xdr:colOff>139700</xdr:colOff>
      <xdr:row>87</xdr:row>
      <xdr:rowOff>139700</xdr:rowOff>
    </xdr:to>
    <xdr:pic>
      <xdr:nvPicPr>
        <xdr:cNvPr id="28" name="Afbeelding 27" descr="Increase">
          <a:extLst>
            <a:ext uri="{FF2B5EF4-FFF2-40B4-BE49-F238E27FC236}">
              <a16:creationId xmlns:a16="http://schemas.microsoft.com/office/drawing/2014/main" id="{4F3C0CC9-77B9-A549-8341-8AE6380D99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8211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88</xdr:row>
      <xdr:rowOff>0</xdr:rowOff>
    </xdr:from>
    <xdr:to>
      <xdr:col>8</xdr:col>
      <xdr:colOff>139700</xdr:colOff>
      <xdr:row>88</xdr:row>
      <xdr:rowOff>139700</xdr:rowOff>
    </xdr:to>
    <xdr:pic>
      <xdr:nvPicPr>
        <xdr:cNvPr id="29" name="Afbeelding 28" descr="Decrease">
          <a:extLst>
            <a:ext uri="{FF2B5EF4-FFF2-40B4-BE49-F238E27FC236}">
              <a16:creationId xmlns:a16="http://schemas.microsoft.com/office/drawing/2014/main" id="{60257EBC-C971-764B-989D-FE6D0D22B1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18440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89</xdr:row>
      <xdr:rowOff>0</xdr:rowOff>
    </xdr:from>
    <xdr:to>
      <xdr:col>8</xdr:col>
      <xdr:colOff>139700</xdr:colOff>
      <xdr:row>89</xdr:row>
      <xdr:rowOff>139700</xdr:rowOff>
    </xdr:to>
    <xdr:pic>
      <xdr:nvPicPr>
        <xdr:cNvPr id="30" name="Afbeelding 29" descr="Increase">
          <a:extLst>
            <a:ext uri="{FF2B5EF4-FFF2-40B4-BE49-F238E27FC236}">
              <a16:creationId xmlns:a16="http://schemas.microsoft.com/office/drawing/2014/main" id="{69CD06C0-2573-FD44-BA1F-34AC052833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8669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90</xdr:row>
      <xdr:rowOff>0</xdr:rowOff>
    </xdr:from>
    <xdr:to>
      <xdr:col>8</xdr:col>
      <xdr:colOff>139700</xdr:colOff>
      <xdr:row>90</xdr:row>
      <xdr:rowOff>139700</xdr:rowOff>
    </xdr:to>
    <xdr:pic>
      <xdr:nvPicPr>
        <xdr:cNvPr id="31" name="Afbeelding 30" descr="Increase">
          <a:extLst>
            <a:ext uri="{FF2B5EF4-FFF2-40B4-BE49-F238E27FC236}">
              <a16:creationId xmlns:a16="http://schemas.microsoft.com/office/drawing/2014/main" id="{3B52F41E-7443-3348-8901-8769A35535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18897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95</xdr:row>
      <xdr:rowOff>0</xdr:rowOff>
    </xdr:from>
    <xdr:to>
      <xdr:col>8</xdr:col>
      <xdr:colOff>139700</xdr:colOff>
      <xdr:row>95</xdr:row>
      <xdr:rowOff>139700</xdr:rowOff>
    </xdr:to>
    <xdr:pic>
      <xdr:nvPicPr>
        <xdr:cNvPr id="37" name="Afbeelding 36" descr="Decrease">
          <a:extLst>
            <a:ext uri="{FF2B5EF4-FFF2-40B4-BE49-F238E27FC236}">
              <a16:creationId xmlns:a16="http://schemas.microsoft.com/office/drawing/2014/main" id="{4907347E-0B75-DE41-B0A8-80F505398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21996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96</xdr:row>
      <xdr:rowOff>0</xdr:rowOff>
    </xdr:from>
    <xdr:to>
      <xdr:col>8</xdr:col>
      <xdr:colOff>139700</xdr:colOff>
      <xdr:row>96</xdr:row>
      <xdr:rowOff>139700</xdr:rowOff>
    </xdr:to>
    <xdr:pic>
      <xdr:nvPicPr>
        <xdr:cNvPr id="38" name="Afbeelding 37" descr="Decrease">
          <a:extLst>
            <a:ext uri="{FF2B5EF4-FFF2-40B4-BE49-F238E27FC236}">
              <a16:creationId xmlns:a16="http://schemas.microsoft.com/office/drawing/2014/main" id="{0A4471F2-B12B-AF44-A128-0B661BF4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22225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97</xdr:row>
      <xdr:rowOff>0</xdr:rowOff>
    </xdr:from>
    <xdr:to>
      <xdr:col>8</xdr:col>
      <xdr:colOff>139700</xdr:colOff>
      <xdr:row>97</xdr:row>
      <xdr:rowOff>139700</xdr:rowOff>
    </xdr:to>
    <xdr:pic>
      <xdr:nvPicPr>
        <xdr:cNvPr id="39" name="Afbeelding 38" descr="Increase">
          <a:extLst>
            <a:ext uri="{FF2B5EF4-FFF2-40B4-BE49-F238E27FC236}">
              <a16:creationId xmlns:a16="http://schemas.microsoft.com/office/drawing/2014/main" id="{0FFF5FFB-190F-AB46-B7EF-BC59DDF7530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22453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98</xdr:row>
      <xdr:rowOff>0</xdr:rowOff>
    </xdr:from>
    <xdr:to>
      <xdr:col>8</xdr:col>
      <xdr:colOff>139700</xdr:colOff>
      <xdr:row>98</xdr:row>
      <xdr:rowOff>139700</xdr:rowOff>
    </xdr:to>
    <xdr:pic>
      <xdr:nvPicPr>
        <xdr:cNvPr id="40" name="Afbeelding 39" descr="Increase">
          <a:extLst>
            <a:ext uri="{FF2B5EF4-FFF2-40B4-BE49-F238E27FC236}">
              <a16:creationId xmlns:a16="http://schemas.microsoft.com/office/drawing/2014/main" id="{47CEC518-C227-9F48-B955-E37F07D5D1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22682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99</xdr:row>
      <xdr:rowOff>0</xdr:rowOff>
    </xdr:from>
    <xdr:to>
      <xdr:col>8</xdr:col>
      <xdr:colOff>139700</xdr:colOff>
      <xdr:row>99</xdr:row>
      <xdr:rowOff>139700</xdr:rowOff>
    </xdr:to>
    <xdr:pic>
      <xdr:nvPicPr>
        <xdr:cNvPr id="41" name="Afbeelding 40" descr="Decrease">
          <a:extLst>
            <a:ext uri="{FF2B5EF4-FFF2-40B4-BE49-F238E27FC236}">
              <a16:creationId xmlns:a16="http://schemas.microsoft.com/office/drawing/2014/main" id="{B05F9DA3-6681-EF47-9059-A6AD4811D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22910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103</xdr:row>
      <xdr:rowOff>0</xdr:rowOff>
    </xdr:from>
    <xdr:to>
      <xdr:col>8</xdr:col>
      <xdr:colOff>139700</xdr:colOff>
      <xdr:row>103</xdr:row>
      <xdr:rowOff>139700</xdr:rowOff>
    </xdr:to>
    <xdr:pic>
      <xdr:nvPicPr>
        <xdr:cNvPr id="42" name="Afbeelding 41" descr="Decrease">
          <a:extLst>
            <a:ext uri="{FF2B5EF4-FFF2-40B4-BE49-F238E27FC236}">
              <a16:creationId xmlns:a16="http://schemas.microsoft.com/office/drawing/2014/main" id="{5B9F6071-974B-984E-9B0A-5FFD7BB1B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219964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104</xdr:row>
      <xdr:rowOff>0</xdr:rowOff>
    </xdr:from>
    <xdr:to>
      <xdr:col>8</xdr:col>
      <xdr:colOff>139700</xdr:colOff>
      <xdr:row>104</xdr:row>
      <xdr:rowOff>139700</xdr:rowOff>
    </xdr:to>
    <xdr:pic>
      <xdr:nvPicPr>
        <xdr:cNvPr id="43" name="Afbeelding 42" descr="Increase">
          <a:extLst>
            <a:ext uri="{FF2B5EF4-FFF2-40B4-BE49-F238E27FC236}">
              <a16:creationId xmlns:a16="http://schemas.microsoft.com/office/drawing/2014/main" id="{E4C36C69-9CB9-4B4C-B606-742D2DD6ED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222250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105</xdr:row>
      <xdr:rowOff>0</xdr:rowOff>
    </xdr:from>
    <xdr:to>
      <xdr:col>8</xdr:col>
      <xdr:colOff>139700</xdr:colOff>
      <xdr:row>105</xdr:row>
      <xdr:rowOff>139700</xdr:rowOff>
    </xdr:to>
    <xdr:pic>
      <xdr:nvPicPr>
        <xdr:cNvPr id="44" name="Afbeelding 43" descr="Increase">
          <a:extLst>
            <a:ext uri="{FF2B5EF4-FFF2-40B4-BE49-F238E27FC236}">
              <a16:creationId xmlns:a16="http://schemas.microsoft.com/office/drawing/2014/main" id="{526F6B88-4013-DD47-8BF1-5CF7AD37F81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224536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106</xdr:row>
      <xdr:rowOff>0</xdr:rowOff>
    </xdr:from>
    <xdr:to>
      <xdr:col>8</xdr:col>
      <xdr:colOff>139700</xdr:colOff>
      <xdr:row>106</xdr:row>
      <xdr:rowOff>139700</xdr:rowOff>
    </xdr:to>
    <xdr:pic>
      <xdr:nvPicPr>
        <xdr:cNvPr id="45" name="Afbeelding 44" descr="Increase">
          <a:extLst>
            <a:ext uri="{FF2B5EF4-FFF2-40B4-BE49-F238E27FC236}">
              <a16:creationId xmlns:a16="http://schemas.microsoft.com/office/drawing/2014/main" id="{C04768CA-7D42-1E45-9D9F-6BD7F3678C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82500" y="226822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107</xdr:row>
      <xdr:rowOff>0</xdr:rowOff>
    </xdr:from>
    <xdr:to>
      <xdr:col>8</xdr:col>
      <xdr:colOff>139700</xdr:colOff>
      <xdr:row>107</xdr:row>
      <xdr:rowOff>139700</xdr:rowOff>
    </xdr:to>
    <xdr:pic>
      <xdr:nvPicPr>
        <xdr:cNvPr id="46" name="Afbeelding 45" descr="Decrease">
          <a:extLst>
            <a:ext uri="{FF2B5EF4-FFF2-40B4-BE49-F238E27FC236}">
              <a16:creationId xmlns:a16="http://schemas.microsoft.com/office/drawing/2014/main" id="{6B605160-8BF9-BF42-919D-9D1FD95B4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00" y="22910800"/>
          <a:ext cx="139700" cy="13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pianoo.nl/" TargetMode="External"/><Relationship Id="rId2" Type="http://schemas.openxmlformats.org/officeDocument/2006/relationships/hyperlink" Target="https://www.natuurenmilieu.nl/nieuwsberichten/brandstofranking/" TargetMode="External"/><Relationship Id="rId1" Type="http://schemas.openxmlformats.org/officeDocument/2006/relationships/hyperlink" Target="https://www.natuurenmilieu.nl/nieuwsberichten/brandstofrankin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hyperlink" Target="https://www.autoweek.nl/bpmcalculator/" TargetMode="External"/><Relationship Id="rId1" Type="http://schemas.openxmlformats.org/officeDocument/2006/relationships/hyperlink" Target="https://www.autozine.nl/overzicht/modellen_techniek.php"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anwb.nl/auto/besparen/top-10-zuinige-autos/top-10-zuinige-bestelautos-overzicht"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www.mercedes-benz.nl/content/media_library/netherlands/mpc/bestelwagens_ng/Brochures/nieuwe_vito_gesloten.object-Single-MEDIA.tmp/Vito_GB_-Dubbelcabine_prijslijst_jan_18.pdf" TargetMode="External"/><Relationship Id="rId3" Type="http://schemas.openxmlformats.org/officeDocument/2006/relationships/hyperlink" Target="https://www.anwb.nl/auto/autokosten" TargetMode="External"/><Relationship Id="rId7" Type="http://schemas.openxmlformats.org/officeDocument/2006/relationships/hyperlink" Target="https://media.mercedes-benz.nl/mercedes-benz-vans-introduceert-volledig-elektrische-evito-en-esprinter/" TargetMode="External"/><Relationship Id="rId2" Type="http://schemas.openxmlformats.org/officeDocument/2006/relationships/hyperlink" Target="https://ev-database.nl/" TargetMode="External"/><Relationship Id="rId1" Type="http://schemas.openxmlformats.org/officeDocument/2006/relationships/hyperlink" Target="https://www.autoweek.nl/bpmcalculator/" TargetMode="External"/><Relationship Id="rId6" Type="http://schemas.openxmlformats.org/officeDocument/2006/relationships/hyperlink" Target="https://www.anwb.nl/auto/themas/elektrisch-rijden/top10-elektrische-bestelautos" TargetMode="External"/><Relationship Id="rId5" Type="http://schemas.openxmlformats.org/officeDocument/2006/relationships/hyperlink" Target="https://www.autoweek.nl/bpmcalculator/" TargetMode="External"/><Relationship Id="rId10" Type="http://schemas.openxmlformats.org/officeDocument/2006/relationships/comments" Target="../comments2.xml"/><Relationship Id="rId4" Type="http://schemas.openxmlformats.org/officeDocument/2006/relationships/hyperlink" Target="https://ev-database.nl/" TargetMode="External"/><Relationship Id="rId9"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3" Type="http://schemas.openxmlformats.org/officeDocument/2006/relationships/hyperlink" Target="https://en.wikipedia.org/wiki/Fiat_Panda" TargetMode="External"/><Relationship Id="rId18" Type="http://schemas.openxmlformats.org/officeDocument/2006/relationships/hyperlink" Target="https://en.wikipedia.org/wiki/Toyota" TargetMode="External"/><Relationship Id="rId26" Type="http://schemas.openxmlformats.org/officeDocument/2006/relationships/hyperlink" Target="https://en.wikipedia.org/wiki/Peugeot" TargetMode="External"/><Relationship Id="rId39" Type="http://schemas.openxmlformats.org/officeDocument/2006/relationships/hyperlink" Target="https://en.wikipedia.org/wiki/Mercedes-Benz_E-Class" TargetMode="External"/><Relationship Id="rId21" Type="http://schemas.openxmlformats.org/officeDocument/2006/relationships/hyperlink" Target="https://en.wikipedia.org/wiki/Renault_Clio" TargetMode="External"/><Relationship Id="rId34" Type="http://schemas.openxmlformats.org/officeDocument/2006/relationships/hyperlink" Target="https://en.wikipedia.org/wiki/Ford" TargetMode="External"/><Relationship Id="rId42" Type="http://schemas.openxmlformats.org/officeDocument/2006/relationships/hyperlink" Target="https://en.wikipedia.org/wiki/Audi" TargetMode="External"/><Relationship Id="rId47" Type="http://schemas.openxmlformats.org/officeDocument/2006/relationships/hyperlink" Target="https://en.wikipedia.org/wiki/Mercedes-Benz_S-Class" TargetMode="External"/><Relationship Id="rId50" Type="http://schemas.openxmlformats.org/officeDocument/2006/relationships/hyperlink" Target="https://en.wikipedia.org/wiki/Porsche" TargetMode="External"/><Relationship Id="rId55" Type="http://schemas.openxmlformats.org/officeDocument/2006/relationships/hyperlink" Target="https://en.wikipedia.org/wiki/Renault" TargetMode="External"/><Relationship Id="rId63" Type="http://schemas.openxmlformats.org/officeDocument/2006/relationships/hyperlink" Target="https://en.wikipedia.org/wiki/Nissan_Juke" TargetMode="External"/><Relationship Id="rId68" Type="http://schemas.openxmlformats.org/officeDocument/2006/relationships/hyperlink" Target="http://carsalesbase.com/european-car-sales-data/Ford/Ford-Kuga/" TargetMode="External"/><Relationship Id="rId7" Type="http://schemas.openxmlformats.org/officeDocument/2006/relationships/hyperlink" Target="https://en.wikipedia.org/wiki/Ford_Focus" TargetMode="External"/><Relationship Id="rId71" Type="http://schemas.openxmlformats.org/officeDocument/2006/relationships/hyperlink" Target="http://carsalesbase.com/european-car-sales-data/Volvo/Volvo-XC90/" TargetMode="External"/><Relationship Id="rId2" Type="http://schemas.openxmlformats.org/officeDocument/2006/relationships/hyperlink" Target="https://en.wikipedia.org/wiki/Volkswagen_Golf" TargetMode="External"/><Relationship Id="rId16" Type="http://schemas.openxmlformats.org/officeDocument/2006/relationships/hyperlink" Target="https://en.wikipedia.org/wiki/Hyundai_Motor_Company" TargetMode="External"/><Relationship Id="rId29" Type="http://schemas.openxmlformats.org/officeDocument/2006/relationships/hyperlink" Target="https://en.wikipedia.org/wiki/Volkswagen" TargetMode="External"/><Relationship Id="rId11" Type="http://schemas.openxmlformats.org/officeDocument/2006/relationships/hyperlink" Target="https://en.wikipedia.org/wiki/Fiat_500_(2007)" TargetMode="External"/><Relationship Id="rId24" Type="http://schemas.openxmlformats.org/officeDocument/2006/relationships/hyperlink" Target="https://en.wikipedia.org/wiki/Ford" TargetMode="External"/><Relationship Id="rId32" Type="http://schemas.openxmlformats.org/officeDocument/2006/relationships/hyperlink" Target="https://en.wikipedia.org/wiki/%C5%A0koda_Superb" TargetMode="External"/><Relationship Id="rId37" Type="http://schemas.openxmlformats.org/officeDocument/2006/relationships/hyperlink" Target="https://en.wikipedia.org/wiki/Renault_Talisman" TargetMode="External"/><Relationship Id="rId40" Type="http://schemas.openxmlformats.org/officeDocument/2006/relationships/hyperlink" Target="https://en.wikipedia.org/wiki/BMW" TargetMode="External"/><Relationship Id="rId45" Type="http://schemas.openxmlformats.org/officeDocument/2006/relationships/hyperlink" Target="https://en.wikipedia.org/wiki/Tesla_Model_S" TargetMode="External"/><Relationship Id="rId53" Type="http://schemas.openxmlformats.org/officeDocument/2006/relationships/hyperlink" Target="https://en.wikipedia.org/wiki/Jaguar_Cars" TargetMode="External"/><Relationship Id="rId58" Type="http://schemas.openxmlformats.org/officeDocument/2006/relationships/hyperlink" Target="https://en.wikipedia.org/wiki/Peugeot_2008" TargetMode="External"/><Relationship Id="rId66" Type="http://schemas.openxmlformats.org/officeDocument/2006/relationships/hyperlink" Target="http://carsalesbase.com/european-car-sales-data/Peugeot/Peugeot-3008/" TargetMode="External"/><Relationship Id="rId74" Type="http://schemas.openxmlformats.org/officeDocument/2006/relationships/hyperlink" Target="http://carsalesbase.com/european-car-sales-data/Land-Rover/Range-Rover-Sport/" TargetMode="External"/><Relationship Id="rId5" Type="http://schemas.openxmlformats.org/officeDocument/2006/relationships/hyperlink" Target="https://en.wikipedia.org/wiki/Opel_Astra" TargetMode="External"/><Relationship Id="rId15" Type="http://schemas.openxmlformats.org/officeDocument/2006/relationships/hyperlink" Target="https://en.wikipedia.org/wiki/Volkswagen_up!" TargetMode="External"/><Relationship Id="rId23" Type="http://schemas.openxmlformats.org/officeDocument/2006/relationships/hyperlink" Target="https://en.wikipedia.org/wiki/Volkswagen_Polo" TargetMode="External"/><Relationship Id="rId28" Type="http://schemas.openxmlformats.org/officeDocument/2006/relationships/hyperlink" Target="https://en.wikipedia.org/wiki/Opel_Corsa" TargetMode="External"/><Relationship Id="rId36" Type="http://schemas.openxmlformats.org/officeDocument/2006/relationships/hyperlink" Target="https://en.wikipedia.org/wiki/Renault" TargetMode="External"/><Relationship Id="rId49" Type="http://schemas.openxmlformats.org/officeDocument/2006/relationships/hyperlink" Target="https://en.wikipedia.org/wiki/BMW_7_Series" TargetMode="External"/><Relationship Id="rId57" Type="http://schemas.openxmlformats.org/officeDocument/2006/relationships/hyperlink" Target="https://en.wikipedia.org/wiki/Peugeot" TargetMode="External"/><Relationship Id="rId61" Type="http://schemas.openxmlformats.org/officeDocument/2006/relationships/hyperlink" Target="https://en.wikipedia.org/wiki/Dacia_Duster" TargetMode="External"/><Relationship Id="rId10" Type="http://schemas.openxmlformats.org/officeDocument/2006/relationships/hyperlink" Target="https://en.wikipedia.org/wiki/Fiat" TargetMode="External"/><Relationship Id="rId19" Type="http://schemas.openxmlformats.org/officeDocument/2006/relationships/hyperlink" Target="https://en.wikipedia.org/wiki/Toyota_Aygo" TargetMode="External"/><Relationship Id="rId31" Type="http://schemas.openxmlformats.org/officeDocument/2006/relationships/hyperlink" Target="https://en.wikipedia.org/wiki/%C5%A0koda_Auto" TargetMode="External"/><Relationship Id="rId44" Type="http://schemas.openxmlformats.org/officeDocument/2006/relationships/hyperlink" Target="https://en.wikipedia.org/wiki/Tesla,_Inc." TargetMode="External"/><Relationship Id="rId52" Type="http://schemas.openxmlformats.org/officeDocument/2006/relationships/hyperlink" Target="https://en.wikipedia.org/wiki/Audi" TargetMode="External"/><Relationship Id="rId60" Type="http://schemas.openxmlformats.org/officeDocument/2006/relationships/hyperlink" Target="https://en.wikipedia.org/wiki/Automobile_Dacia" TargetMode="External"/><Relationship Id="rId65" Type="http://schemas.openxmlformats.org/officeDocument/2006/relationships/hyperlink" Target="http://carsalesbase.com/european-car-sales-data/Volkswagen/Volkswagen-Tiguan/" TargetMode="External"/><Relationship Id="rId73" Type="http://schemas.openxmlformats.org/officeDocument/2006/relationships/hyperlink" Target="http://carsalesbase.com/european-car-sales-data/Mercedes-Benz/Mercedes-Benz-GLE/" TargetMode="External"/><Relationship Id="rId4" Type="http://schemas.openxmlformats.org/officeDocument/2006/relationships/hyperlink" Target="https://en.wikipedia.org/wiki/%C5%A0koda_Octavia" TargetMode="External"/><Relationship Id="rId9" Type="http://schemas.openxmlformats.org/officeDocument/2006/relationships/hyperlink" Target="https://en.wikipedia.org/wiki/Renault_M%C3%A9gane" TargetMode="External"/><Relationship Id="rId14" Type="http://schemas.openxmlformats.org/officeDocument/2006/relationships/hyperlink" Target="https://en.wikipedia.org/wiki/Volkswagen" TargetMode="External"/><Relationship Id="rId22" Type="http://schemas.openxmlformats.org/officeDocument/2006/relationships/hyperlink" Target="https://en.wikipedia.org/wiki/Volkswagen" TargetMode="External"/><Relationship Id="rId27" Type="http://schemas.openxmlformats.org/officeDocument/2006/relationships/hyperlink" Target="https://en.wikipedia.org/wiki/Peugeot_208" TargetMode="External"/><Relationship Id="rId30" Type="http://schemas.openxmlformats.org/officeDocument/2006/relationships/hyperlink" Target="https://en.wikipedia.org/wiki/Volkswagen_Passat" TargetMode="External"/><Relationship Id="rId35" Type="http://schemas.openxmlformats.org/officeDocument/2006/relationships/hyperlink" Target="https://en.wikipedia.org/wiki/Ford_Mondeo" TargetMode="External"/><Relationship Id="rId43" Type="http://schemas.openxmlformats.org/officeDocument/2006/relationships/hyperlink" Target="https://en.wikipedia.org/wiki/Volvo_Cars" TargetMode="External"/><Relationship Id="rId48" Type="http://schemas.openxmlformats.org/officeDocument/2006/relationships/hyperlink" Target="https://en.wikipedia.org/wiki/BMW" TargetMode="External"/><Relationship Id="rId56" Type="http://schemas.openxmlformats.org/officeDocument/2006/relationships/hyperlink" Target="https://en.wikipedia.org/wiki/Renault_Captur" TargetMode="External"/><Relationship Id="rId64" Type="http://schemas.openxmlformats.org/officeDocument/2006/relationships/hyperlink" Target="http://carsalesbase.com/european-car-sales-data/Nissan/Nissan-Qashqai/" TargetMode="External"/><Relationship Id="rId69" Type="http://schemas.openxmlformats.org/officeDocument/2006/relationships/hyperlink" Target="http://carsalesbase.com/car-sales-europe/car-sales-segments/premium-large-suv-segment/" TargetMode="External"/><Relationship Id="rId8" Type="http://schemas.openxmlformats.org/officeDocument/2006/relationships/hyperlink" Target="https://en.wikipedia.org/wiki/Renault" TargetMode="External"/><Relationship Id="rId51" Type="http://schemas.openxmlformats.org/officeDocument/2006/relationships/hyperlink" Target="https://en.wikipedia.org/wiki/Porsche_Panamera" TargetMode="External"/><Relationship Id="rId72" Type="http://schemas.openxmlformats.org/officeDocument/2006/relationships/hyperlink" Target="http://carsalesbase.com/european-car-sales-data/Audi/Audi-Q7/" TargetMode="External"/><Relationship Id="rId3" Type="http://schemas.openxmlformats.org/officeDocument/2006/relationships/hyperlink" Target="https://en.wikipedia.org/wiki/%C5%A0koda_Auto" TargetMode="External"/><Relationship Id="rId12" Type="http://schemas.openxmlformats.org/officeDocument/2006/relationships/hyperlink" Target="https://en.wikipedia.org/wiki/Fiat" TargetMode="External"/><Relationship Id="rId17" Type="http://schemas.openxmlformats.org/officeDocument/2006/relationships/hyperlink" Target="https://en.wikipedia.org/wiki/Hyundai_i10" TargetMode="External"/><Relationship Id="rId25" Type="http://schemas.openxmlformats.org/officeDocument/2006/relationships/hyperlink" Target="https://en.wikipedia.org/wiki/Ford_Fiesta" TargetMode="External"/><Relationship Id="rId33" Type="http://schemas.openxmlformats.org/officeDocument/2006/relationships/hyperlink" Target="https://en.wikipedia.org/wiki/Opel_Insignia" TargetMode="External"/><Relationship Id="rId38" Type="http://schemas.openxmlformats.org/officeDocument/2006/relationships/hyperlink" Target="https://en.wikipedia.org/wiki/Mercedes-Benz" TargetMode="External"/><Relationship Id="rId46" Type="http://schemas.openxmlformats.org/officeDocument/2006/relationships/hyperlink" Target="https://en.wikipedia.org/wiki/Mercedes-Benz" TargetMode="External"/><Relationship Id="rId59" Type="http://schemas.openxmlformats.org/officeDocument/2006/relationships/hyperlink" Target="https://en.wikipedia.org/wiki/Opel_Mokka" TargetMode="External"/><Relationship Id="rId67" Type="http://schemas.openxmlformats.org/officeDocument/2006/relationships/hyperlink" Target="http://carsalesbase.com/european-car-sales-data/Hyundai/Hyundai-tucson/" TargetMode="External"/><Relationship Id="rId20" Type="http://schemas.openxmlformats.org/officeDocument/2006/relationships/hyperlink" Target="https://en.wikipedia.org/wiki/Renault" TargetMode="External"/><Relationship Id="rId41" Type="http://schemas.openxmlformats.org/officeDocument/2006/relationships/hyperlink" Target="https://en.wikipedia.org/wiki/BMW_5_Series" TargetMode="External"/><Relationship Id="rId54" Type="http://schemas.openxmlformats.org/officeDocument/2006/relationships/hyperlink" Target="https://en.wikipedia.org/wiki/Jaguar_XJ" TargetMode="External"/><Relationship Id="rId62" Type="http://schemas.openxmlformats.org/officeDocument/2006/relationships/hyperlink" Target="https://en.wikipedia.org/wiki/Nissan" TargetMode="External"/><Relationship Id="rId70" Type="http://schemas.openxmlformats.org/officeDocument/2006/relationships/hyperlink" Target="http://carsalesbase.com/european-car-sales-data/BMW/BMW-X5/" TargetMode="External"/><Relationship Id="rId75" Type="http://schemas.openxmlformats.org/officeDocument/2006/relationships/drawing" Target="../drawings/drawing6.xml"/><Relationship Id="rId1" Type="http://schemas.openxmlformats.org/officeDocument/2006/relationships/hyperlink" Target="https://en.wikipedia.org/wiki/Volkswagen" TargetMode="External"/><Relationship Id="rId6" Type="http://schemas.openxmlformats.org/officeDocument/2006/relationships/hyperlink" Target="https://en.wikipedia.org/wiki/Ford"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bovagrai.info/auto/2017/" TargetMode="External"/><Relationship Id="rId3" Type="http://schemas.openxmlformats.org/officeDocument/2006/relationships/hyperlink" Target="https://www.anwb.nl/zakelijk/nieuws/2017/juli/top10-elektrische-bestelautos-2017" TargetMode="External"/><Relationship Id="rId7" Type="http://schemas.openxmlformats.org/officeDocument/2006/relationships/hyperlink" Target="https://bovagrai.info/auto/2017/" TargetMode="External"/><Relationship Id="rId2" Type="http://schemas.openxmlformats.org/officeDocument/2006/relationships/hyperlink" Target="https://autorai.nl/duidelijkheid-over-autosegmenten/" TargetMode="External"/><Relationship Id="rId1" Type="http://schemas.openxmlformats.org/officeDocument/2006/relationships/hyperlink" Target="https://www.anwb.nl/zakelijk/nieuws/2017/juli/top10-elektrische-bestelautos-2017" TargetMode="External"/><Relationship Id="rId6" Type="http://schemas.openxmlformats.org/officeDocument/2006/relationships/hyperlink" Target="https://autorai.nl/duidelijkheid-over-autosegmenten/" TargetMode="External"/><Relationship Id="rId5" Type="http://schemas.openxmlformats.org/officeDocument/2006/relationships/hyperlink" Target="https://www.anwb.nl/auto/themas/elektrisch-rijden/elektrische-autos/welke-autos-zijn-er/welke-autos-zijn-er" TargetMode="External"/><Relationship Id="rId4" Type="http://schemas.openxmlformats.org/officeDocument/2006/relationships/hyperlink" Target="https://www.anwb.nl/auto/themas/elektrisch-rijden/elektrische-autos/welke-autos-zijn-er/welke-autos-zijn-e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rdw.nl/-/media/rdw/rdw/pdf/sitecollectiondocuments/vt/naslag/brandstofverbruiksboekje-2018.pdf" TargetMode="External"/><Relationship Id="rId13" Type="http://schemas.openxmlformats.org/officeDocument/2006/relationships/hyperlink" Target="https://fastned.nl/nl/kies-je-prijsplan" TargetMode="External"/><Relationship Id="rId3" Type="http://schemas.openxmlformats.org/officeDocument/2006/relationships/hyperlink" Target="http://statline.cbs.nl/StatWeb/publication/?DM=SLNL&amp;PA=81567NED" TargetMode="External"/><Relationship Id="rId7" Type="http://schemas.openxmlformats.org/officeDocument/2006/relationships/hyperlink" Target="https://www.rvo.nl/subsidies-regelingen/mia-en-vamil/milieulijst-miavamil/branches-en-themas/duurzaam-transport?utm_campaign=327193004&amp;utm_source=google&amp;utm_medium=cpc&amp;utm_content=262160046159&amp;utm_term=mia%20elektrische%20auto%202018&amp;adgroupid=22648406924&amp;gclid=EAIaIQobChMIha6Sq_vu3AIVBeJ3Ch2GvQj_EAAYASAAEgI-0_D_BwE" TargetMode="External"/><Relationship Id="rId12" Type="http://schemas.openxmlformats.org/officeDocument/2006/relationships/hyperlink" Target="https://www.allego.nl/e-rijders/alles-over-laden/wat-kost-laden/" TargetMode="External"/><Relationship Id="rId2" Type="http://schemas.openxmlformats.org/officeDocument/2006/relationships/hyperlink" Target="https://www.co2emissiefactoren.nl/lijst-emissiefactoren/" TargetMode="External"/><Relationship Id="rId1" Type="http://schemas.openxmlformats.org/officeDocument/2006/relationships/hyperlink" Target="https://www.anwb.nl/auto/koerslijst" TargetMode="External"/><Relationship Id="rId6" Type="http://schemas.openxmlformats.org/officeDocument/2006/relationships/hyperlink" Target="https://www.anwb.nl/auto/autokosten" TargetMode="External"/><Relationship Id="rId11" Type="http://schemas.openxmlformats.org/officeDocument/2006/relationships/hyperlink" Target="https://ev-database.nl/" TargetMode="External"/><Relationship Id="rId5" Type="http://schemas.openxmlformats.org/officeDocument/2006/relationships/hyperlink" Target="https://www.belastingdienst.nl/wps/wcm/connect/nl/auto-en-vervoer/content/hulpmiddel-motorrijtuigenbelasting-berekenen" TargetMode="External"/><Relationship Id="rId15" Type="http://schemas.openxmlformats.org/officeDocument/2006/relationships/drawing" Target="../drawings/drawing2.xml"/><Relationship Id="rId10" Type="http://schemas.openxmlformats.org/officeDocument/2006/relationships/hyperlink" Target="https://mijn.bovag.nl/dossiers/alles-over-de-wltp" TargetMode="External"/><Relationship Id="rId4" Type="http://schemas.openxmlformats.org/officeDocument/2006/relationships/hyperlink" Target="https://www.belastingdienst.nl/wps/wcm/connect/bldcontentnl/belastingdienst/prive/auto_en_vervoer/belastingen_op_auto_en_motor/bpm/bpm" TargetMode="External"/><Relationship Id="rId9" Type="http://schemas.openxmlformats.org/officeDocument/2006/relationships/hyperlink" Target="https://www.anwb.nl/auto/besparen/top-10-zuinige-autos/top-10-zuinige-bestelautos-overzicht" TargetMode="External"/><Relationship Id="rId14" Type="http://schemas.openxmlformats.org/officeDocument/2006/relationships/hyperlink" Target="https://www.leaseblog.nl/algemeen/kost-om-elektrische-auto-op-laden/"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hyperlink" Target="mailto:info@pianoo.nl" TargetMode="External"/><Relationship Id="rId2" Type="http://schemas.openxmlformats.org/officeDocument/2006/relationships/hyperlink" Target="https://www.pianoo.nl/nl/inkoopproces" TargetMode="External"/><Relationship Id="rId1" Type="http://schemas.openxmlformats.org/officeDocument/2006/relationships/hyperlink" Target="https://www.pianoo.nl/nl/inkoopproces" TargetMode="External"/><Relationship Id="rId4" Type="http://schemas.openxmlformats.org/officeDocument/2006/relationships/hyperlink" Target="mailto:info@pianoo.nl"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www.anwb.nl/auto/autokosten" TargetMode="External"/><Relationship Id="rId13" Type="http://schemas.openxmlformats.org/officeDocument/2006/relationships/drawing" Target="../drawings/drawing4.xml"/><Relationship Id="rId3" Type="http://schemas.openxmlformats.org/officeDocument/2006/relationships/hyperlink" Target="https://www.co2emissiefactoren.nl/lijst-emissiefactoren/" TargetMode="External"/><Relationship Id="rId7" Type="http://schemas.openxmlformats.org/officeDocument/2006/relationships/hyperlink" Target="https://www.nibud.nl/consumenten/wat-kost-een-auto/" TargetMode="External"/><Relationship Id="rId12" Type="http://schemas.openxmlformats.org/officeDocument/2006/relationships/hyperlink" Target="https://www.cbs.nl/nl-nl/maatwerk/2018/04/rendementen-en-co2-emissie-elektriciteitsproductie-2016" TargetMode="External"/><Relationship Id="rId2" Type="http://schemas.openxmlformats.org/officeDocument/2006/relationships/hyperlink" Target="http://statline.cbs.nl/StatWeb/publication/?DM=SLNL&amp;PA=81567NED" TargetMode="External"/><Relationship Id="rId1" Type="http://schemas.openxmlformats.org/officeDocument/2006/relationships/hyperlink" Target="https://www.belastingdienst.nl/wps/wcm/connect/bldcontentnl/belastingdienst/prive/auto_en_vervoer/belastingen_op_auto_en_motor/bpm/bpm" TargetMode="External"/><Relationship Id="rId6" Type="http://schemas.openxmlformats.org/officeDocument/2006/relationships/hyperlink" Target="https://www.rvo.nl/subsidies-regelingen/mia-en-vamil/milieulijst-miavamil/branches-en-themas/duurzaam-transport?utm_campaign=327193004&amp;utm_source=google&amp;utm_medium=cpc&amp;utm_content=262160046159&amp;utm_term=mia%20elektrische%20auto%202018&amp;adgroupid=22648406924&amp;gclid=EAIaIQobChMIha6Sq_vu3AIVBeJ3Ch2GvQj_EAAYASAAEgI-0_D_BwE" TargetMode="External"/><Relationship Id="rId11" Type="http://schemas.openxmlformats.org/officeDocument/2006/relationships/hyperlink" Target="https://www.anwb.nl/auto/kopen/auto-kiezen/autokosten" TargetMode="External"/><Relationship Id="rId5" Type="http://schemas.openxmlformats.org/officeDocument/2006/relationships/hyperlink" Target="https://www.belastingdienst.nl/wps/wcm/connect/bldcontentnl/belastingdienst/zakelijk/winst/inkomstenbelasting/veranderingen-inkomstenbelasting-2018/bijtelling-privegebruik-auto-2018" TargetMode="External"/><Relationship Id="rId15" Type="http://schemas.openxmlformats.org/officeDocument/2006/relationships/comments" Target="../comments1.xml"/><Relationship Id="rId10" Type="http://schemas.openxmlformats.org/officeDocument/2006/relationships/hyperlink" Target="https://www.anwb.nl/auto/koerslijst" TargetMode="External"/><Relationship Id="rId4" Type="http://schemas.openxmlformats.org/officeDocument/2006/relationships/hyperlink" Target="https://www.belastingdienst.nl/wps/wcm/connect/nl/auto-en-vervoer/content/hulpmiddel-motorrijtuigenbelasting-berekenen" TargetMode="External"/><Relationship Id="rId9" Type="http://schemas.openxmlformats.org/officeDocument/2006/relationships/hyperlink" Target="https://www.anwb.nl/auto/nieuws/2012/november/elektrische-auto-goedkoper-in-onderhoud" TargetMode="External"/><Relationship Id="rId1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tabColor rgb="FFFFC000"/>
  </sheetPr>
  <dimension ref="A1:K36"/>
  <sheetViews>
    <sheetView tabSelected="1" zoomScale="75" zoomScaleNormal="75" workbookViewId="0">
      <selection activeCell="K4" sqref="K4"/>
    </sheetView>
  </sheetViews>
  <sheetFormatPr defaultColWidth="11.25" defaultRowHeight="15.75"/>
  <cols>
    <col min="1" max="1" width="4.25" customWidth="1"/>
    <col min="2" max="2" width="61.25" customWidth="1"/>
    <col min="3" max="3" width="28.25" customWidth="1"/>
    <col min="5" max="5" width="9.25" customWidth="1"/>
    <col min="6" max="6" width="10.25" customWidth="1"/>
    <col min="7" max="7" width="4" customWidth="1"/>
    <col min="8" max="8" width="6.75" customWidth="1"/>
    <col min="9" max="9" width="22.75" customWidth="1"/>
    <col min="10" max="10" width="48" customWidth="1"/>
    <col min="11" max="11" width="28.25" customWidth="1"/>
  </cols>
  <sheetData>
    <row r="1" spans="1:11" ht="43.9" customHeight="1" thickBot="1">
      <c r="A1" s="404"/>
      <c r="B1" s="404"/>
      <c r="C1" s="404"/>
      <c r="D1" s="404"/>
      <c r="E1" s="404"/>
      <c r="F1" s="404"/>
      <c r="G1" s="404"/>
      <c r="H1" s="404"/>
      <c r="I1" s="404"/>
      <c r="J1" s="404"/>
      <c r="K1" s="404"/>
    </row>
    <row r="2" spans="1:11" ht="27" thickBot="1">
      <c r="B2" s="407" t="s">
        <v>806</v>
      </c>
      <c r="C2" s="408"/>
      <c r="D2" s="408"/>
      <c r="E2" s="408"/>
      <c r="F2" s="409"/>
      <c r="H2" s="396" t="s">
        <v>833</v>
      </c>
      <c r="I2" s="405"/>
      <c r="J2" s="405"/>
      <c r="K2" s="406"/>
    </row>
    <row r="3" spans="1:11" ht="106.15" customHeight="1">
      <c r="B3" s="390" t="s">
        <v>834</v>
      </c>
      <c r="C3" s="391"/>
      <c r="D3" s="391"/>
      <c r="E3" s="391"/>
      <c r="F3" s="392"/>
      <c r="H3" s="401"/>
      <c r="I3" s="402"/>
      <c r="J3" s="402"/>
      <c r="K3" s="403"/>
    </row>
    <row r="4" spans="1:11" ht="63" customHeight="1" thickBot="1">
      <c r="B4" s="393"/>
      <c r="C4" s="394"/>
      <c r="D4" s="394"/>
      <c r="E4" s="394"/>
      <c r="F4" s="395"/>
      <c r="H4" s="399" t="s">
        <v>897</v>
      </c>
      <c r="I4" s="400"/>
      <c r="J4" s="400"/>
      <c r="K4" s="364" t="s">
        <v>896</v>
      </c>
    </row>
    <row r="5" spans="1:11" ht="16.5" thickBot="1"/>
    <row r="6" spans="1:11" ht="27" thickBot="1">
      <c r="B6" s="410" t="s">
        <v>807</v>
      </c>
      <c r="C6" s="411"/>
      <c r="D6" s="411"/>
      <c r="E6" s="411"/>
      <c r="F6" s="412"/>
      <c r="H6" s="396" t="s">
        <v>808</v>
      </c>
      <c r="I6" s="397"/>
      <c r="J6" s="397"/>
      <c r="K6" s="398"/>
    </row>
    <row r="7" spans="1:11" ht="232.15" customHeight="1">
      <c r="B7" s="390" t="s">
        <v>854</v>
      </c>
      <c r="C7" s="391"/>
      <c r="D7" s="391"/>
      <c r="E7" s="391"/>
      <c r="F7" s="392"/>
      <c r="H7" s="378" t="s">
        <v>902</v>
      </c>
      <c r="I7" s="379"/>
      <c r="J7" s="379"/>
      <c r="K7" s="380"/>
    </row>
    <row r="8" spans="1:11" ht="79.900000000000006" customHeight="1" thickBot="1">
      <c r="B8" s="393"/>
      <c r="C8" s="394"/>
      <c r="D8" s="394"/>
      <c r="E8" s="394"/>
      <c r="F8" s="395"/>
      <c r="G8" s="9"/>
      <c r="H8" s="206" t="s">
        <v>838</v>
      </c>
      <c r="I8" s="381" t="s">
        <v>837</v>
      </c>
      <c r="J8" s="382"/>
      <c r="K8" s="383"/>
    </row>
    <row r="9" spans="1:11" ht="16.5" thickBot="1">
      <c r="B9" s="10"/>
      <c r="C9" s="10"/>
      <c r="D9" s="10"/>
      <c r="E9" s="10"/>
      <c r="F9" s="10"/>
    </row>
    <row r="10" spans="1:11" ht="27" thickBot="1">
      <c r="B10" s="384" t="s">
        <v>809</v>
      </c>
      <c r="C10" s="385"/>
      <c r="D10" s="385"/>
      <c r="E10" s="385"/>
      <c r="F10" s="386"/>
      <c r="H10" s="396" t="s">
        <v>835</v>
      </c>
      <c r="I10" s="397"/>
      <c r="J10" s="397"/>
      <c r="K10" s="398"/>
    </row>
    <row r="11" spans="1:11" ht="373.9" customHeight="1" thickBot="1">
      <c r="B11" s="387" t="s">
        <v>855</v>
      </c>
      <c r="C11" s="388"/>
      <c r="D11" s="388"/>
      <c r="E11" s="388"/>
      <c r="F11" s="389"/>
      <c r="H11" s="375"/>
      <c r="I11" s="376"/>
      <c r="J11" s="376"/>
      <c r="K11" s="377"/>
    </row>
    <row r="12" spans="1:11" ht="16.5" thickBot="1"/>
    <row r="13" spans="1:11" ht="33" customHeight="1" thickBot="1">
      <c r="B13" s="396" t="s">
        <v>859</v>
      </c>
      <c r="C13" s="397"/>
      <c r="D13" s="397"/>
      <c r="E13" s="397"/>
      <c r="F13" s="405"/>
      <c r="G13" s="405"/>
      <c r="H13" s="405"/>
      <c r="I13" s="405"/>
      <c r="J13" s="405"/>
      <c r="K13" s="406"/>
    </row>
    <row r="14" spans="1:11" ht="303" customHeight="1">
      <c r="B14" s="372"/>
      <c r="C14" s="373"/>
      <c r="D14" s="373"/>
      <c r="E14" s="373"/>
      <c r="F14" s="373"/>
      <c r="G14" s="373"/>
      <c r="H14" s="373"/>
      <c r="I14" s="373"/>
      <c r="J14" s="373"/>
      <c r="K14" s="374"/>
    </row>
    <row r="15" spans="1:11" ht="37.15" customHeight="1" thickBot="1">
      <c r="B15" s="375"/>
      <c r="C15" s="376"/>
      <c r="D15" s="376"/>
      <c r="E15" s="376"/>
      <c r="F15" s="376"/>
      <c r="G15" s="376"/>
      <c r="H15" s="376"/>
      <c r="I15" s="376"/>
      <c r="J15" s="376"/>
      <c r="K15" s="377"/>
    </row>
    <row r="16" spans="1:11">
      <c r="B16" s="207"/>
      <c r="C16" s="207"/>
      <c r="D16" s="207"/>
      <c r="E16" s="207"/>
      <c r="F16" s="207"/>
      <c r="G16" s="207"/>
      <c r="H16" s="207"/>
      <c r="I16" s="207"/>
      <c r="J16" s="207"/>
      <c r="K16" s="207"/>
    </row>
    <row r="17" spans="2:11">
      <c r="B17" s="207"/>
      <c r="C17" s="207"/>
      <c r="D17" s="207"/>
      <c r="E17" s="207"/>
      <c r="F17" s="207"/>
      <c r="G17" s="207"/>
      <c r="H17" s="207"/>
      <c r="I17" s="207"/>
      <c r="J17" s="207"/>
      <c r="K17" s="207"/>
    </row>
    <row r="18" spans="2:11">
      <c r="B18" s="207"/>
      <c r="C18" s="207"/>
      <c r="D18" s="207"/>
      <c r="E18" s="207"/>
      <c r="F18" s="207"/>
      <c r="G18" s="207"/>
      <c r="H18" s="207"/>
      <c r="I18" s="207"/>
      <c r="J18" s="207"/>
      <c r="K18" s="207"/>
    </row>
    <row r="19" spans="2:11">
      <c r="B19" s="207"/>
      <c r="C19" s="207"/>
      <c r="D19" s="207"/>
      <c r="E19" s="207"/>
      <c r="F19" s="207"/>
      <c r="G19" s="207"/>
      <c r="H19" s="207"/>
      <c r="I19" s="207"/>
      <c r="J19" s="207"/>
      <c r="K19" s="207"/>
    </row>
    <row r="20" spans="2:11">
      <c r="B20" s="207"/>
      <c r="C20" s="207"/>
      <c r="D20" s="207"/>
      <c r="E20" s="207"/>
      <c r="F20" s="207"/>
      <c r="G20" s="207"/>
      <c r="H20" s="207"/>
      <c r="I20" s="207"/>
      <c r="J20" s="207"/>
      <c r="K20" s="207"/>
    </row>
    <row r="21" spans="2:11">
      <c r="B21" s="207"/>
      <c r="C21" s="207"/>
      <c r="D21" s="207"/>
      <c r="E21" s="207"/>
      <c r="F21" s="207"/>
      <c r="G21" s="207"/>
      <c r="H21" s="207"/>
      <c r="I21" s="207"/>
      <c r="J21" s="207"/>
      <c r="K21" s="207"/>
    </row>
    <row r="22" spans="2:11">
      <c r="B22" s="207"/>
      <c r="C22" s="207"/>
      <c r="D22" s="207"/>
      <c r="E22" s="207"/>
      <c r="F22" s="207"/>
      <c r="G22" s="207"/>
      <c r="H22" s="207"/>
      <c r="I22" s="207"/>
      <c r="J22" s="207"/>
      <c r="K22" s="207"/>
    </row>
    <row r="23" spans="2:11">
      <c r="B23" s="207"/>
      <c r="C23" s="207"/>
      <c r="D23" s="207"/>
      <c r="E23" s="207"/>
      <c r="F23" s="207"/>
      <c r="G23" s="207"/>
      <c r="H23" s="207"/>
      <c r="I23" s="207"/>
      <c r="J23" s="207"/>
      <c r="K23" s="207"/>
    </row>
    <row r="24" spans="2:11">
      <c r="B24" s="207"/>
      <c r="C24" s="207"/>
      <c r="D24" s="207"/>
      <c r="E24" s="207"/>
      <c r="F24" s="207"/>
      <c r="G24" s="207"/>
      <c r="H24" s="207"/>
      <c r="I24" s="207"/>
      <c r="J24" s="207"/>
      <c r="K24" s="207"/>
    </row>
    <row r="25" spans="2:11">
      <c r="B25" s="207"/>
      <c r="C25" s="207"/>
      <c r="D25" s="207"/>
      <c r="E25" s="207"/>
      <c r="F25" s="207"/>
      <c r="G25" s="207"/>
      <c r="H25" s="207"/>
      <c r="I25" s="207"/>
      <c r="J25" s="207"/>
      <c r="K25" s="207"/>
    </row>
    <row r="26" spans="2:11">
      <c r="B26" s="207"/>
      <c r="C26" s="207"/>
      <c r="D26" s="207"/>
      <c r="E26" s="207"/>
      <c r="F26" s="207"/>
      <c r="G26" s="207"/>
      <c r="H26" s="207"/>
      <c r="I26" s="207"/>
      <c r="J26" s="207"/>
      <c r="K26" s="207"/>
    </row>
    <row r="27" spans="2:11">
      <c r="B27" s="207"/>
      <c r="C27" s="207"/>
      <c r="D27" s="207"/>
      <c r="E27" s="207"/>
      <c r="F27" s="207"/>
      <c r="G27" s="207"/>
      <c r="H27" s="207"/>
      <c r="I27" s="207"/>
      <c r="J27" s="207"/>
      <c r="K27" s="207"/>
    </row>
    <row r="28" spans="2:11">
      <c r="B28" s="207"/>
      <c r="C28" s="207"/>
      <c r="D28" s="207"/>
      <c r="E28" s="207"/>
      <c r="F28" s="207"/>
      <c r="G28" s="207"/>
      <c r="H28" s="207"/>
      <c r="I28" s="207"/>
      <c r="J28" s="207"/>
      <c r="K28" s="207"/>
    </row>
    <row r="29" spans="2:11">
      <c r="B29" s="207"/>
      <c r="C29" s="207"/>
      <c r="D29" s="207"/>
      <c r="E29" s="207"/>
      <c r="F29" s="207"/>
      <c r="G29" s="207"/>
      <c r="H29" s="207"/>
      <c r="I29" s="207"/>
      <c r="J29" s="207"/>
      <c r="K29" s="207"/>
    </row>
    <row r="30" spans="2:11">
      <c r="B30" s="207"/>
      <c r="C30" s="207"/>
      <c r="D30" s="207"/>
      <c r="E30" s="207"/>
      <c r="F30" s="207"/>
      <c r="G30" s="207"/>
      <c r="H30" s="207"/>
      <c r="I30" s="207"/>
      <c r="J30" s="207"/>
      <c r="K30" s="207"/>
    </row>
    <row r="31" spans="2:11">
      <c r="B31" s="207"/>
      <c r="C31" s="207"/>
      <c r="D31" s="207"/>
      <c r="E31" s="207"/>
      <c r="F31" s="207"/>
      <c r="G31" s="207"/>
      <c r="H31" s="207"/>
      <c r="I31" s="207"/>
      <c r="J31" s="207"/>
      <c r="K31" s="207"/>
    </row>
    <row r="32" spans="2:11">
      <c r="B32" s="207"/>
      <c r="C32" s="207"/>
      <c r="D32" s="207"/>
      <c r="E32" s="207"/>
      <c r="F32" s="207"/>
      <c r="G32" s="207"/>
      <c r="H32" s="207"/>
      <c r="I32" s="207"/>
      <c r="J32" s="207"/>
      <c r="K32" s="207"/>
    </row>
    <row r="33" spans="2:11">
      <c r="B33" s="207"/>
      <c r="C33" s="207"/>
      <c r="D33" s="207"/>
      <c r="E33" s="207"/>
      <c r="F33" s="207"/>
      <c r="G33" s="207"/>
      <c r="H33" s="207"/>
      <c r="I33" s="207"/>
      <c r="J33" s="207"/>
      <c r="K33" s="207"/>
    </row>
    <row r="34" spans="2:11">
      <c r="B34" s="207"/>
      <c r="C34" s="207"/>
      <c r="D34" s="207"/>
      <c r="E34" s="207"/>
      <c r="F34" s="207"/>
      <c r="G34" s="207"/>
      <c r="H34" s="207"/>
      <c r="I34" s="207"/>
      <c r="J34" s="207"/>
      <c r="K34" s="207"/>
    </row>
    <row r="35" spans="2:11">
      <c r="B35" s="207"/>
      <c r="C35" s="207"/>
      <c r="D35" s="207"/>
      <c r="E35" s="207"/>
      <c r="F35" s="207"/>
      <c r="G35" s="207"/>
      <c r="H35" s="207"/>
      <c r="I35" s="207"/>
      <c r="J35" s="207"/>
      <c r="K35" s="207"/>
    </row>
    <row r="36" spans="2:11">
      <c r="B36" s="207"/>
      <c r="C36" s="207"/>
      <c r="D36" s="207"/>
      <c r="E36" s="207"/>
      <c r="F36" s="207"/>
      <c r="G36" s="207"/>
      <c r="H36" s="207"/>
      <c r="I36" s="207"/>
      <c r="J36" s="207"/>
      <c r="K36" s="207"/>
    </row>
  </sheetData>
  <sheetProtection algorithmName="SHA-512" hashValue="YpjuWt5WYj5T3SNcqp5lRp27kI7Ox0Q3zovghEWd/DpDxUdyygO1yZsv0RyLThUathkpWCOcvc4dKnoIpB8AsQ==" saltValue="JD4UrbKbJ1+r9fJK7umVqg==" spinCount="100000" sheet="1" objects="1" scenarios="1"/>
  <mergeCells count="17">
    <mergeCell ref="H4:J4"/>
    <mergeCell ref="H3:K3"/>
    <mergeCell ref="A1:K1"/>
    <mergeCell ref="B13:K13"/>
    <mergeCell ref="B2:F2"/>
    <mergeCell ref="B3:F4"/>
    <mergeCell ref="B6:F6"/>
    <mergeCell ref="H6:K6"/>
    <mergeCell ref="H2:K2"/>
    <mergeCell ref="B14:K15"/>
    <mergeCell ref="H7:K7"/>
    <mergeCell ref="H11:K11"/>
    <mergeCell ref="I8:K8"/>
    <mergeCell ref="B10:F10"/>
    <mergeCell ref="B11:F11"/>
    <mergeCell ref="B7:F8"/>
    <mergeCell ref="H10:K10"/>
  </mergeCells>
  <hyperlinks>
    <hyperlink ref="I8" r:id="rId1" xr:uid="{00000000-0004-0000-0000-000000000000}"/>
    <hyperlink ref="I8:K8" r:id="rId2" tooltip="Natuur &amp; Milieu, Factsheet brandstofranking" display="https://www.natuurenmilieu.nl/nieuwsberichten/brandstofranking/" xr:uid="{00000000-0004-0000-0000-000001000000}"/>
    <hyperlink ref="K4" r:id="rId3" tooltip="Expertisecentrum Aanbesteden" xr:uid="{00000000-0004-0000-0000-000002000000}"/>
  </hyperlinks>
  <pageMargins left="0.7" right="0.7" top="0.75" bottom="0.75"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8"/>
  </sheetPr>
  <dimension ref="A1:N208"/>
  <sheetViews>
    <sheetView topLeftCell="A21" zoomScale="90" zoomScaleNormal="90" workbookViewId="0">
      <selection activeCell="H37" sqref="H37:H38"/>
    </sheetView>
  </sheetViews>
  <sheetFormatPr defaultColWidth="11" defaultRowHeight="15.75"/>
  <cols>
    <col min="1" max="1" width="18.5" style="250" bestFit="1" customWidth="1"/>
    <col min="2" max="2" width="32.25" style="250" bestFit="1" customWidth="1"/>
    <col min="3" max="3" width="66.75" style="250" customWidth="1"/>
    <col min="4" max="4" width="12.25" style="250" bestFit="1" customWidth="1"/>
    <col min="5" max="5" width="17.75" style="250" bestFit="1" customWidth="1"/>
    <col min="6" max="6" width="20.75" style="250" bestFit="1" customWidth="1"/>
    <col min="7" max="7" width="27.75" style="250" bestFit="1" customWidth="1"/>
    <col min="8" max="8" width="34.25" style="250" customWidth="1"/>
    <col min="9" max="10" width="16.25" style="250" customWidth="1"/>
    <col min="11" max="12" width="17.75" style="250" customWidth="1"/>
    <col min="13" max="13" width="32" style="250" customWidth="1"/>
    <col min="14" max="14" width="16" style="250" bestFit="1" customWidth="1"/>
    <col min="15" max="16384" width="11" style="250"/>
  </cols>
  <sheetData>
    <row r="1" spans="1:12">
      <c r="A1" s="288" t="s">
        <v>409</v>
      </c>
      <c r="B1" s="288" t="s">
        <v>410</v>
      </c>
      <c r="C1" s="288" t="s">
        <v>411</v>
      </c>
      <c r="D1" s="288" t="s">
        <v>412</v>
      </c>
      <c r="J1" s="288"/>
      <c r="K1" s="288"/>
      <c r="L1" s="288"/>
    </row>
    <row r="2" spans="1:12">
      <c r="A2" s="288"/>
      <c r="B2" s="288"/>
      <c r="C2" s="288"/>
      <c r="D2" s="288"/>
      <c r="J2" s="288"/>
      <c r="K2" s="288"/>
      <c r="L2" s="288"/>
    </row>
    <row r="3" spans="1:12">
      <c r="A3" s="250" t="s">
        <v>11</v>
      </c>
      <c r="B3" s="250" t="s">
        <v>12</v>
      </c>
      <c r="C3" s="250" t="s">
        <v>413</v>
      </c>
      <c r="D3" s="250" t="s">
        <v>15</v>
      </c>
    </row>
    <row r="4" spans="1:12">
      <c r="A4" s="250" t="s">
        <v>16</v>
      </c>
      <c r="B4" s="250" t="s">
        <v>17</v>
      </c>
      <c r="C4" s="250" t="s">
        <v>18</v>
      </c>
      <c r="D4" s="250" t="s">
        <v>414</v>
      </c>
    </row>
    <row r="5" spans="1:12">
      <c r="A5" s="250" t="s">
        <v>19</v>
      </c>
      <c r="B5" s="250" t="s">
        <v>20</v>
      </c>
      <c r="C5" s="250" t="s">
        <v>21</v>
      </c>
      <c r="D5" s="250" t="s">
        <v>415</v>
      </c>
    </row>
    <row r="6" spans="1:12">
      <c r="A6" s="250" t="s">
        <v>22</v>
      </c>
      <c r="B6" s="250" t="s">
        <v>23</v>
      </c>
      <c r="C6" s="250" t="s">
        <v>24</v>
      </c>
    </row>
    <row r="7" spans="1:12">
      <c r="A7" s="250" t="s">
        <v>26</v>
      </c>
      <c r="B7" s="250" t="s">
        <v>27</v>
      </c>
      <c r="C7" s="250" t="s">
        <v>28</v>
      </c>
      <c r="D7" s="250" t="s">
        <v>29</v>
      </c>
    </row>
    <row r="8" spans="1:12">
      <c r="A8" s="250" t="s">
        <v>30</v>
      </c>
      <c r="B8" s="250" t="s">
        <v>31</v>
      </c>
      <c r="C8" s="250" t="s">
        <v>32</v>
      </c>
      <c r="D8" s="250" t="s">
        <v>29</v>
      </c>
    </row>
    <row r="9" spans="1:12">
      <c r="A9" s="250" t="s">
        <v>236</v>
      </c>
      <c r="B9" s="250" t="s">
        <v>416</v>
      </c>
      <c r="C9" s="250" t="s">
        <v>417</v>
      </c>
    </row>
    <row r="10" spans="1:12">
      <c r="A10" s="250" t="s">
        <v>33</v>
      </c>
      <c r="B10" s="250" t="s">
        <v>34</v>
      </c>
      <c r="C10" s="250" t="s">
        <v>35</v>
      </c>
      <c r="D10" s="250" t="s">
        <v>36</v>
      </c>
    </row>
    <row r="11" spans="1:12">
      <c r="A11" s="250" t="s">
        <v>37</v>
      </c>
      <c r="B11" s="250" t="s">
        <v>38</v>
      </c>
      <c r="C11" s="250" t="s">
        <v>39</v>
      </c>
      <c r="D11" s="250" t="s">
        <v>40</v>
      </c>
    </row>
    <row r="17" spans="1:14">
      <c r="A17" s="329" t="s">
        <v>418</v>
      </c>
    </row>
    <row r="18" spans="1:14" ht="16.149999999999999" customHeight="1">
      <c r="A18" s="540"/>
      <c r="B18" s="540"/>
      <c r="C18" s="539" t="s">
        <v>419</v>
      </c>
      <c r="D18" s="539" t="s">
        <v>420</v>
      </c>
      <c r="E18" s="539" t="s">
        <v>874</v>
      </c>
      <c r="F18" s="539" t="s">
        <v>875</v>
      </c>
      <c r="G18" s="539" t="s">
        <v>876</v>
      </c>
      <c r="H18" s="538" t="s">
        <v>877</v>
      </c>
      <c r="I18" s="539" t="s">
        <v>878</v>
      </c>
      <c r="J18" s="538" t="s">
        <v>421</v>
      </c>
      <c r="K18" s="538" t="s">
        <v>422</v>
      </c>
      <c r="L18" s="538" t="s">
        <v>423</v>
      </c>
      <c r="M18" s="539" t="s">
        <v>879</v>
      </c>
      <c r="N18" s="329"/>
    </row>
    <row r="19" spans="1:14" ht="16.149999999999999" customHeight="1">
      <c r="A19" s="540"/>
      <c r="B19" s="540"/>
      <c r="C19" s="539"/>
      <c r="D19" s="539"/>
      <c r="E19" s="539"/>
      <c r="F19" s="539"/>
      <c r="G19" s="539"/>
      <c r="H19" s="524"/>
      <c r="I19" s="539"/>
      <c r="J19" s="539"/>
      <c r="K19" s="524"/>
      <c r="L19" s="524"/>
      <c r="M19" s="539"/>
      <c r="N19" s="329"/>
    </row>
    <row r="20" spans="1:14">
      <c r="B20" s="250">
        <v>1</v>
      </c>
      <c r="C20" s="250" t="s">
        <v>424</v>
      </c>
      <c r="D20" s="250" t="s">
        <v>240</v>
      </c>
      <c r="E20" s="250">
        <v>96</v>
      </c>
      <c r="F20" s="250">
        <v>4.0999999999999996</v>
      </c>
      <c r="G20" s="263">
        <v>834</v>
      </c>
      <c r="H20" s="330">
        <v>8419</v>
      </c>
      <c r="I20" s="330">
        <v>1753</v>
      </c>
      <c r="J20" s="330">
        <f>21%*H20</f>
        <v>1767.99</v>
      </c>
      <c r="K20" s="330">
        <f>H20+I20+J20</f>
        <v>11939.99</v>
      </c>
      <c r="L20" s="330"/>
      <c r="M20" s="250" t="s">
        <v>19</v>
      </c>
    </row>
    <row r="21" spans="1:14">
      <c r="B21" s="250">
        <v>2</v>
      </c>
      <c r="C21" s="250" t="s">
        <v>425</v>
      </c>
      <c r="D21" s="250" t="s">
        <v>240</v>
      </c>
      <c r="E21" s="250">
        <v>88</v>
      </c>
      <c r="F21" s="250">
        <v>3.8</v>
      </c>
      <c r="G21" s="250">
        <v>815</v>
      </c>
      <c r="H21" s="330">
        <v>7680</v>
      </c>
      <c r="I21" s="330">
        <v>1447</v>
      </c>
      <c r="J21" s="330">
        <f>21%*H21</f>
        <v>1612.8</v>
      </c>
      <c r="K21" s="330">
        <f>H21+I21+J21</f>
        <v>10739.8</v>
      </c>
      <c r="L21" s="330"/>
      <c r="M21" s="250" t="s">
        <v>16</v>
      </c>
    </row>
    <row r="22" spans="1:14" ht="16.899999999999999" customHeight="1">
      <c r="B22" s="250">
        <v>3</v>
      </c>
      <c r="C22" s="250" t="s">
        <v>426</v>
      </c>
      <c r="D22" s="250" t="s">
        <v>240</v>
      </c>
      <c r="E22" s="250">
        <v>95</v>
      </c>
      <c r="F22" s="250">
        <v>4.2</v>
      </c>
      <c r="G22" s="263">
        <v>840</v>
      </c>
      <c r="H22" s="330">
        <v>7555</v>
      </c>
      <c r="I22" s="330">
        <v>1759</v>
      </c>
      <c r="J22" s="330">
        <f t="shared" ref="J22:J23" si="0">21%*H22</f>
        <v>1586.55</v>
      </c>
      <c r="K22" s="330">
        <f t="shared" ref="K22:K23" si="1">H22+I22+J22</f>
        <v>10900.55</v>
      </c>
      <c r="L22" s="330"/>
      <c r="M22" s="250" t="s">
        <v>19</v>
      </c>
    </row>
    <row r="23" spans="1:14" ht="16.899999999999999" customHeight="1">
      <c r="B23" s="250">
        <v>4</v>
      </c>
      <c r="C23" s="250" t="s">
        <v>427</v>
      </c>
      <c r="D23" s="250" t="s">
        <v>428</v>
      </c>
      <c r="E23" s="250">
        <v>94</v>
      </c>
      <c r="F23" s="250">
        <v>4.0999999999999996</v>
      </c>
      <c r="G23" s="250">
        <v>839</v>
      </c>
      <c r="H23" s="330">
        <v>7499</v>
      </c>
      <c r="I23" s="330">
        <v>1825</v>
      </c>
      <c r="J23" s="330">
        <f t="shared" si="0"/>
        <v>1574.79</v>
      </c>
      <c r="K23" s="330">
        <f t="shared" si="1"/>
        <v>10898.79</v>
      </c>
      <c r="L23" s="330"/>
      <c r="M23" s="250" t="s">
        <v>16</v>
      </c>
    </row>
    <row r="24" spans="1:14" ht="16.899999999999999" customHeight="1" thickBot="1"/>
    <row r="25" spans="1:14" ht="16.899999999999999" customHeight="1" thickBot="1">
      <c r="C25" s="331" t="s">
        <v>429</v>
      </c>
      <c r="D25" s="332" t="s">
        <v>240</v>
      </c>
      <c r="E25" s="333">
        <f>AVERAGE(E20:E23)</f>
        <v>93.25</v>
      </c>
      <c r="F25" s="333">
        <f t="shared" ref="F25:K25" si="2">AVERAGE(F20:F23)</f>
        <v>4.05</v>
      </c>
      <c r="G25" s="334">
        <f t="shared" si="2"/>
        <v>832</v>
      </c>
      <c r="H25" s="335">
        <f t="shared" si="2"/>
        <v>7788.25</v>
      </c>
      <c r="I25" s="335">
        <f>AVERAGE(I20:I23)</f>
        <v>1696</v>
      </c>
      <c r="J25" s="335">
        <f t="shared" si="2"/>
        <v>1635.5325</v>
      </c>
      <c r="K25" s="335">
        <f t="shared" si="2"/>
        <v>11119.782499999999</v>
      </c>
      <c r="L25" s="335">
        <f>65/3</f>
        <v>21.666666666666668</v>
      </c>
      <c r="M25" s="336"/>
    </row>
    <row r="27" spans="1:14" ht="16.149999999999999" customHeight="1">
      <c r="B27" s="524" t="s">
        <v>430</v>
      </c>
      <c r="C27" s="539" t="s">
        <v>419</v>
      </c>
      <c r="D27" s="539" t="s">
        <v>420</v>
      </c>
      <c r="E27" s="539" t="s">
        <v>431</v>
      </c>
      <c r="F27" s="539" t="s">
        <v>432</v>
      </c>
      <c r="G27" s="539" t="s">
        <v>433</v>
      </c>
      <c r="H27" s="538" t="s">
        <v>434</v>
      </c>
      <c r="I27" s="539" t="s">
        <v>435</v>
      </c>
      <c r="J27" s="538" t="s">
        <v>421</v>
      </c>
      <c r="K27" s="538" t="s">
        <v>422</v>
      </c>
      <c r="L27" s="538" t="s">
        <v>436</v>
      </c>
      <c r="M27" s="539" t="s">
        <v>437</v>
      </c>
    </row>
    <row r="28" spans="1:14" ht="48" customHeight="1">
      <c r="B28" s="524"/>
      <c r="C28" s="539"/>
      <c r="D28" s="539"/>
      <c r="E28" s="539"/>
      <c r="F28" s="539"/>
      <c r="G28" s="539"/>
      <c r="H28" s="524"/>
      <c r="I28" s="539"/>
      <c r="J28" s="539"/>
      <c r="K28" s="524"/>
      <c r="L28" s="524"/>
      <c r="M28" s="539"/>
    </row>
    <row r="29" spans="1:14">
      <c r="B29" s="250">
        <v>1</v>
      </c>
      <c r="C29" s="250" t="s">
        <v>235</v>
      </c>
      <c r="G29" s="263"/>
      <c r="M29" s="250" t="s">
        <v>22</v>
      </c>
    </row>
    <row r="30" spans="1:14">
      <c r="B30" s="250">
        <v>2</v>
      </c>
    </row>
    <row r="31" spans="1:14">
      <c r="B31" s="250">
        <v>3</v>
      </c>
    </row>
    <row r="32" spans="1:14" ht="16.5" thickBot="1"/>
    <row r="33" spans="1:13" ht="16.899999999999999" customHeight="1" thickBot="1">
      <c r="C33" s="331" t="s">
        <v>438</v>
      </c>
      <c r="D33" s="332" t="s">
        <v>208</v>
      </c>
      <c r="E33" s="334"/>
      <c r="F33" s="333"/>
      <c r="G33" s="332"/>
      <c r="H33" s="332"/>
      <c r="I33" s="332"/>
      <c r="J33" s="332"/>
      <c r="K33" s="332"/>
      <c r="L33" s="332"/>
      <c r="M33" s="336"/>
    </row>
    <row r="35" spans="1:13">
      <c r="A35" s="329" t="s">
        <v>439</v>
      </c>
    </row>
    <row r="36" spans="1:13">
      <c r="A36" s="329"/>
    </row>
    <row r="37" spans="1:13" ht="16.149999999999999" customHeight="1">
      <c r="A37" s="329"/>
      <c r="B37" s="540"/>
      <c r="C37" s="539" t="s">
        <v>419</v>
      </c>
      <c r="D37" s="539" t="s">
        <v>420</v>
      </c>
      <c r="E37" s="539" t="s">
        <v>431</v>
      </c>
      <c r="F37" s="539" t="s">
        <v>432</v>
      </c>
      <c r="G37" s="539" t="s">
        <v>433</v>
      </c>
      <c r="H37" s="538" t="s">
        <v>434</v>
      </c>
      <c r="I37" s="539" t="s">
        <v>435</v>
      </c>
      <c r="J37" s="538" t="s">
        <v>421</v>
      </c>
      <c r="K37" s="538" t="s">
        <v>422</v>
      </c>
      <c r="L37" s="538" t="s">
        <v>436</v>
      </c>
      <c r="M37" s="539" t="s">
        <v>437</v>
      </c>
    </row>
    <row r="38" spans="1:13">
      <c r="A38" s="329"/>
      <c r="B38" s="540"/>
      <c r="C38" s="539"/>
      <c r="D38" s="539"/>
      <c r="E38" s="539"/>
      <c r="F38" s="539"/>
      <c r="G38" s="539"/>
      <c r="H38" s="524"/>
      <c r="I38" s="539"/>
      <c r="J38" s="539"/>
      <c r="K38" s="524"/>
      <c r="L38" s="524"/>
      <c r="M38" s="539"/>
    </row>
    <row r="39" spans="1:13">
      <c r="A39" s="329"/>
      <c r="B39" s="250">
        <v>1</v>
      </c>
      <c r="C39" s="250" t="s">
        <v>440</v>
      </c>
      <c r="D39" s="250" t="s">
        <v>428</v>
      </c>
      <c r="E39" s="250">
        <v>108</v>
      </c>
      <c r="F39" s="250">
        <v>4.7</v>
      </c>
      <c r="G39" s="305">
        <v>1150</v>
      </c>
      <c r="H39" s="263">
        <v>9808</v>
      </c>
      <c r="I39" s="330">
        <v>3467</v>
      </c>
      <c r="J39" s="330">
        <f>21%*H39</f>
        <v>2059.6799999999998</v>
      </c>
      <c r="K39" s="330">
        <f>H39+I39+J39</f>
        <v>15334.68</v>
      </c>
      <c r="L39" s="330"/>
      <c r="M39" s="250" t="s">
        <v>19</v>
      </c>
    </row>
    <row r="40" spans="1:13">
      <c r="A40" s="329"/>
      <c r="B40" s="250">
        <v>2</v>
      </c>
      <c r="C40" s="250" t="s">
        <v>441</v>
      </c>
      <c r="D40" s="250" t="s">
        <v>428</v>
      </c>
      <c r="E40" s="250">
        <v>94</v>
      </c>
      <c r="F40" s="250">
        <v>4.2</v>
      </c>
      <c r="G40" s="305">
        <v>1057</v>
      </c>
      <c r="H40" s="263">
        <v>10806</v>
      </c>
      <c r="I40" s="330">
        <v>1825</v>
      </c>
      <c r="J40" s="330">
        <f>21%*H40</f>
        <v>2269.2599999999998</v>
      </c>
      <c r="K40" s="330">
        <f>H40+I40+J40</f>
        <v>14900.26</v>
      </c>
      <c r="L40" s="330"/>
      <c r="M40" s="250" t="s">
        <v>16</v>
      </c>
    </row>
    <row r="41" spans="1:13">
      <c r="A41" s="329"/>
      <c r="B41" s="250">
        <v>3</v>
      </c>
      <c r="C41" s="250" t="s">
        <v>442</v>
      </c>
      <c r="D41" s="250" t="s">
        <v>428</v>
      </c>
      <c r="E41" s="250">
        <v>105</v>
      </c>
      <c r="F41" s="250">
        <v>4.5999999999999996</v>
      </c>
      <c r="G41" s="305">
        <v>1163</v>
      </c>
      <c r="H41" s="263">
        <v>11974</v>
      </c>
      <c r="I41" s="330">
        <v>2911</v>
      </c>
      <c r="J41" s="330">
        <f t="shared" ref="J41:J42" si="3">21%*H41</f>
        <v>2514.54</v>
      </c>
      <c r="K41" s="330">
        <f t="shared" ref="K41:K42" si="4">H41+I41+J41</f>
        <v>17399.54</v>
      </c>
      <c r="L41" s="330"/>
      <c r="M41" s="250" t="s">
        <v>19</v>
      </c>
    </row>
    <row r="42" spans="1:13" ht="16.899999999999999" customHeight="1">
      <c r="B42" s="250">
        <v>4</v>
      </c>
      <c r="C42" s="250" t="s">
        <v>443</v>
      </c>
      <c r="D42" s="250" t="s">
        <v>428</v>
      </c>
      <c r="E42" s="250">
        <v>99</v>
      </c>
      <c r="F42" s="250">
        <v>4.3</v>
      </c>
      <c r="G42" s="305">
        <v>1163</v>
      </c>
      <c r="H42" s="263">
        <v>14381</v>
      </c>
      <c r="I42" s="330"/>
      <c r="J42" s="330">
        <f t="shared" si="3"/>
        <v>3020.0099999999998</v>
      </c>
      <c r="K42" s="330">
        <f t="shared" si="4"/>
        <v>17401.009999999998</v>
      </c>
      <c r="L42" s="330"/>
      <c r="M42" s="250" t="s">
        <v>16</v>
      </c>
    </row>
    <row r="43" spans="1:13" ht="16.899999999999999" customHeight="1" thickBot="1"/>
    <row r="44" spans="1:13" ht="16.899999999999999" customHeight="1" thickBot="1">
      <c r="C44" s="331" t="s">
        <v>444</v>
      </c>
      <c r="D44" s="332" t="s">
        <v>240</v>
      </c>
      <c r="E44" s="334">
        <f>AVERAGE(E39:E42)</f>
        <v>101.5</v>
      </c>
      <c r="F44" s="333">
        <f t="shared" ref="F44:K44" si="5">AVERAGE(F39:F42)</f>
        <v>4.45</v>
      </c>
      <c r="G44" s="334">
        <f t="shared" si="5"/>
        <v>1133.25</v>
      </c>
      <c r="H44" s="335">
        <f t="shared" si="5"/>
        <v>11742.25</v>
      </c>
      <c r="I44" s="335">
        <f t="shared" si="5"/>
        <v>2734.3333333333335</v>
      </c>
      <c r="J44" s="335">
        <f t="shared" si="5"/>
        <v>2465.8724999999999</v>
      </c>
      <c r="K44" s="335">
        <f t="shared" si="5"/>
        <v>16258.872500000001</v>
      </c>
      <c r="L44" s="335">
        <f>AVERAGE(120,128,118)/3</f>
        <v>40.666666666666664</v>
      </c>
      <c r="M44" s="336"/>
    </row>
    <row r="45" spans="1:13" ht="16.899999999999999" customHeight="1">
      <c r="C45" s="288"/>
      <c r="D45" s="288"/>
      <c r="E45" s="337"/>
      <c r="F45" s="338"/>
      <c r="G45" s="288"/>
      <c r="H45" s="288"/>
      <c r="I45" s="288"/>
      <c r="J45" s="288"/>
      <c r="K45" s="288"/>
      <c r="L45" s="288"/>
      <c r="M45" s="288"/>
    </row>
    <row r="46" spans="1:13" ht="25.15" customHeight="1">
      <c r="B46" s="540"/>
      <c r="C46" s="539" t="s">
        <v>419</v>
      </c>
      <c r="D46" s="539" t="s">
        <v>420</v>
      </c>
      <c r="E46" s="539" t="s">
        <v>431</v>
      </c>
      <c r="F46" s="539" t="s">
        <v>432</v>
      </c>
      <c r="G46" s="539" t="s">
        <v>433</v>
      </c>
      <c r="H46" s="538" t="s">
        <v>434</v>
      </c>
      <c r="I46" s="539" t="s">
        <v>435</v>
      </c>
      <c r="J46" s="538" t="s">
        <v>421</v>
      </c>
      <c r="K46" s="538" t="s">
        <v>422</v>
      </c>
      <c r="L46" s="538" t="s">
        <v>436</v>
      </c>
      <c r="M46" s="539" t="s">
        <v>437</v>
      </c>
    </row>
    <row r="47" spans="1:13">
      <c r="B47" s="540"/>
      <c r="C47" s="539"/>
      <c r="D47" s="539"/>
      <c r="E47" s="539"/>
      <c r="F47" s="539"/>
      <c r="G47" s="539"/>
      <c r="H47" s="524"/>
      <c r="I47" s="539"/>
      <c r="J47" s="539"/>
      <c r="K47" s="524"/>
      <c r="L47" s="524"/>
      <c r="M47" s="539"/>
    </row>
    <row r="48" spans="1:13">
      <c r="B48" s="250">
        <v>1</v>
      </c>
      <c r="C48" s="250" t="s">
        <v>445</v>
      </c>
      <c r="D48" s="250" t="s">
        <v>208</v>
      </c>
      <c r="E48" s="250">
        <v>82</v>
      </c>
      <c r="F48" s="250">
        <v>3.2</v>
      </c>
      <c r="G48" s="263">
        <v>1257</v>
      </c>
      <c r="H48" s="330">
        <v>13127</v>
      </c>
      <c r="I48" s="330">
        <v>2716</v>
      </c>
      <c r="J48" s="330">
        <f>21%*H48</f>
        <v>2756.67</v>
      </c>
      <c r="K48" s="330">
        <f>H48+I48+J48</f>
        <v>18599.669999999998</v>
      </c>
      <c r="L48" s="330"/>
      <c r="M48" s="250" t="s">
        <v>19</v>
      </c>
    </row>
    <row r="49" spans="1:13">
      <c r="B49" s="250">
        <v>2</v>
      </c>
      <c r="C49" s="250" t="s">
        <v>446</v>
      </c>
      <c r="D49" s="250" t="s">
        <v>208</v>
      </c>
      <c r="E49" s="250">
        <v>90</v>
      </c>
      <c r="F49" s="250">
        <v>3.4</v>
      </c>
      <c r="G49" s="263">
        <v>1163</v>
      </c>
      <c r="H49" s="330">
        <v>13542</v>
      </c>
      <c r="I49" s="330">
        <v>4363</v>
      </c>
      <c r="J49" s="330">
        <f t="shared" ref="J49:J51" si="6">21%*H49</f>
        <v>2843.8199999999997</v>
      </c>
      <c r="K49" s="330">
        <f t="shared" ref="K49:K51" si="7">H49+I49+J49</f>
        <v>20748.82</v>
      </c>
      <c r="L49" s="330"/>
      <c r="M49" s="250" t="s">
        <v>19</v>
      </c>
    </row>
    <row r="50" spans="1:13">
      <c r="B50" s="250">
        <v>3</v>
      </c>
      <c r="C50" s="250" t="s">
        <v>447</v>
      </c>
      <c r="D50" s="250" t="s">
        <v>208</v>
      </c>
      <c r="E50" s="250">
        <v>95</v>
      </c>
      <c r="F50" s="250">
        <v>3.7</v>
      </c>
      <c r="G50" s="263">
        <v>1259</v>
      </c>
      <c r="H50" s="330">
        <v>14056</v>
      </c>
      <c r="I50" s="330">
        <v>4662</v>
      </c>
      <c r="J50" s="330">
        <f t="shared" si="6"/>
        <v>2951.7599999999998</v>
      </c>
      <c r="K50" s="330">
        <f t="shared" si="7"/>
        <v>21669.759999999998</v>
      </c>
      <c r="L50" s="330"/>
      <c r="M50" s="250" t="s">
        <v>22</v>
      </c>
    </row>
    <row r="51" spans="1:13">
      <c r="B51" s="250">
        <v>4</v>
      </c>
      <c r="C51" s="250" t="s">
        <v>448</v>
      </c>
      <c r="D51" s="250" t="s">
        <v>208</v>
      </c>
      <c r="E51" s="250">
        <v>89</v>
      </c>
      <c r="F51" s="250">
        <v>3.5</v>
      </c>
      <c r="G51" s="263">
        <v>1054</v>
      </c>
      <c r="H51" s="330">
        <v>12480</v>
      </c>
      <c r="I51" s="330">
        <v>3764</v>
      </c>
      <c r="J51" s="330">
        <f t="shared" si="6"/>
        <v>2620.7999999999997</v>
      </c>
      <c r="K51" s="330">
        <f t="shared" si="7"/>
        <v>18864.8</v>
      </c>
      <c r="L51" s="330"/>
      <c r="M51" s="250" t="s">
        <v>19</v>
      </c>
    </row>
    <row r="52" spans="1:13" ht="16.5" thickBot="1"/>
    <row r="53" spans="1:13" ht="16.5" thickBot="1">
      <c r="C53" s="331" t="s">
        <v>449</v>
      </c>
      <c r="D53" s="332"/>
      <c r="E53" s="334">
        <f>AVERAGE(E48:E51)</f>
        <v>89</v>
      </c>
      <c r="F53" s="333">
        <f>AVERAGE(F48:F51)</f>
        <v>3.45</v>
      </c>
      <c r="G53" s="339">
        <f>AVERAGE(G48:G51)</f>
        <v>1183.25</v>
      </c>
      <c r="H53" s="335">
        <f t="shared" ref="H53:K53" si="8">AVERAGE(H48:H51)</f>
        <v>13301.25</v>
      </c>
      <c r="I53" s="335">
        <f t="shared" si="8"/>
        <v>3876.25</v>
      </c>
      <c r="J53" s="335">
        <f t="shared" si="8"/>
        <v>2793.2624999999998</v>
      </c>
      <c r="K53" s="335">
        <f t="shared" si="8"/>
        <v>19970.762500000001</v>
      </c>
      <c r="L53" s="335">
        <f>AVERAGE(273,260,265)/3</f>
        <v>88.666666666666671</v>
      </c>
      <c r="M53" s="336"/>
    </row>
    <row r="54" spans="1:13" ht="13.9" customHeight="1">
      <c r="D54" s="340"/>
      <c r="E54" s="340"/>
    </row>
    <row r="55" spans="1:13">
      <c r="A55" s="329" t="s">
        <v>450</v>
      </c>
    </row>
    <row r="56" spans="1:13">
      <c r="A56" s="329"/>
    </row>
    <row r="57" spans="1:13">
      <c r="A57" s="329"/>
      <c r="B57" s="540"/>
      <c r="C57" s="539" t="s">
        <v>419</v>
      </c>
      <c r="D57" s="539" t="s">
        <v>420</v>
      </c>
      <c r="E57" s="539" t="s">
        <v>431</v>
      </c>
      <c r="F57" s="539" t="s">
        <v>432</v>
      </c>
      <c r="G57" s="539" t="s">
        <v>433</v>
      </c>
      <c r="H57" s="538" t="s">
        <v>451</v>
      </c>
      <c r="I57" s="539" t="s">
        <v>435</v>
      </c>
      <c r="J57" s="538" t="s">
        <v>421</v>
      </c>
      <c r="K57" s="538" t="s">
        <v>422</v>
      </c>
      <c r="L57" s="538" t="s">
        <v>436</v>
      </c>
      <c r="M57" s="539" t="s">
        <v>437</v>
      </c>
    </row>
    <row r="58" spans="1:13">
      <c r="A58" s="329"/>
      <c r="B58" s="540"/>
      <c r="C58" s="539"/>
      <c r="D58" s="539"/>
      <c r="E58" s="539"/>
      <c r="F58" s="539"/>
      <c r="G58" s="539"/>
      <c r="H58" s="524"/>
      <c r="I58" s="539"/>
      <c r="J58" s="539"/>
      <c r="K58" s="524"/>
      <c r="L58" s="524"/>
      <c r="M58" s="539"/>
    </row>
    <row r="59" spans="1:13">
      <c r="A59" s="329"/>
      <c r="B59" s="250">
        <v>1</v>
      </c>
      <c r="C59" s="250" t="s">
        <v>452</v>
      </c>
      <c r="D59" s="250" t="s">
        <v>428</v>
      </c>
      <c r="E59" s="250">
        <v>108</v>
      </c>
      <c r="F59" s="250">
        <v>4.8</v>
      </c>
      <c r="G59" s="263">
        <v>1301</v>
      </c>
      <c r="H59" s="263">
        <v>17664</v>
      </c>
      <c r="I59" s="263">
        <v>3710</v>
      </c>
      <c r="J59" s="263">
        <f>21%*H59</f>
        <v>3709.44</v>
      </c>
      <c r="K59" s="330">
        <f>H59+I59+J59</f>
        <v>25083.439999999999</v>
      </c>
      <c r="L59" s="330"/>
      <c r="M59" s="250" t="s">
        <v>16</v>
      </c>
    </row>
    <row r="60" spans="1:13">
      <c r="A60" s="329"/>
      <c r="B60" s="250">
        <v>2</v>
      </c>
      <c r="C60" s="250" t="s">
        <v>453</v>
      </c>
      <c r="D60" s="250" t="s">
        <v>428</v>
      </c>
      <c r="E60" s="250">
        <v>104</v>
      </c>
      <c r="F60" s="250">
        <v>4.4000000000000004</v>
      </c>
      <c r="G60" s="263">
        <v>1393</v>
      </c>
      <c r="H60" s="263">
        <v>14414</v>
      </c>
      <c r="I60" s="263">
        <v>2633</v>
      </c>
      <c r="J60" s="330">
        <f t="shared" ref="J60:J62" si="9">21%*H60</f>
        <v>3026.94</v>
      </c>
      <c r="K60" s="330">
        <f t="shared" ref="K60:K62" si="10">H60+I60+J60</f>
        <v>20073.939999999999</v>
      </c>
      <c r="L60" s="330"/>
      <c r="M60" s="250" t="s">
        <v>11</v>
      </c>
    </row>
    <row r="61" spans="1:13">
      <c r="A61" s="329"/>
      <c r="B61" s="250">
        <v>3</v>
      </c>
      <c r="C61" s="250" t="s">
        <v>454</v>
      </c>
      <c r="D61" s="250" t="s">
        <v>428</v>
      </c>
      <c r="E61" s="250">
        <v>120</v>
      </c>
      <c r="F61" s="250">
        <v>5.4</v>
      </c>
      <c r="G61" s="263">
        <v>1280</v>
      </c>
      <c r="H61" s="263">
        <v>12897</v>
      </c>
      <c r="I61" s="263">
        <v>5135</v>
      </c>
      <c r="J61" s="330">
        <f t="shared" si="9"/>
        <v>2708.37</v>
      </c>
      <c r="K61" s="330">
        <f t="shared" si="10"/>
        <v>20740.37</v>
      </c>
      <c r="L61" s="330"/>
      <c r="M61" s="250" t="s">
        <v>19</v>
      </c>
    </row>
    <row r="62" spans="1:13">
      <c r="A62" s="329"/>
      <c r="B62" s="250">
        <v>4</v>
      </c>
      <c r="C62" s="250" t="s">
        <v>455</v>
      </c>
      <c r="D62" s="250" t="s">
        <v>428</v>
      </c>
      <c r="E62" s="250">
        <v>105</v>
      </c>
      <c r="F62" s="250">
        <v>4.5999999999999996</v>
      </c>
      <c r="G62" s="263">
        <v>1176</v>
      </c>
      <c r="H62" s="263">
        <v>16146</v>
      </c>
      <c r="I62" s="263">
        <v>3328</v>
      </c>
      <c r="J62" s="330">
        <f t="shared" si="9"/>
        <v>3390.66</v>
      </c>
      <c r="K62" s="330">
        <f t="shared" si="10"/>
        <v>22864.66</v>
      </c>
      <c r="L62" s="330"/>
      <c r="M62" s="250" t="s">
        <v>16</v>
      </c>
    </row>
    <row r="63" spans="1:13" ht="16.5" thickBot="1">
      <c r="A63" s="329"/>
      <c r="C63" s="341"/>
    </row>
    <row r="64" spans="1:13" ht="16.5" thickBot="1">
      <c r="A64" s="329"/>
      <c r="C64" s="331" t="s">
        <v>456</v>
      </c>
      <c r="D64" s="332" t="s">
        <v>240</v>
      </c>
      <c r="E64" s="334">
        <f>AVERAGE(E59:E62)</f>
        <v>109.25</v>
      </c>
      <c r="F64" s="333">
        <f t="shared" ref="F64:K64" si="11">AVERAGE(F59:F62)</f>
        <v>4.8</v>
      </c>
      <c r="G64" s="334">
        <f t="shared" si="11"/>
        <v>1287.5</v>
      </c>
      <c r="H64" s="335">
        <f>AVERAGE(H59:H62)</f>
        <v>15280.25</v>
      </c>
      <c r="I64" s="335">
        <f t="shared" si="11"/>
        <v>3701.5</v>
      </c>
      <c r="J64" s="335">
        <f t="shared" si="11"/>
        <v>3208.8525</v>
      </c>
      <c r="K64" s="335">
        <f t="shared" si="11"/>
        <v>22190.602500000001</v>
      </c>
      <c r="L64" s="335">
        <v>54</v>
      </c>
      <c r="M64" s="336"/>
    </row>
    <row r="65" spans="1:13" ht="16.899999999999999" customHeight="1">
      <c r="A65" s="329"/>
    </row>
    <row r="66" spans="1:13" ht="16.149999999999999" customHeight="1">
      <c r="B66" s="540"/>
      <c r="C66" s="539" t="s">
        <v>419</v>
      </c>
      <c r="D66" s="539" t="s">
        <v>420</v>
      </c>
      <c r="E66" s="539" t="s">
        <v>431</v>
      </c>
      <c r="F66" s="539" t="s">
        <v>432</v>
      </c>
      <c r="G66" s="539" t="s">
        <v>433</v>
      </c>
      <c r="H66" s="538" t="s">
        <v>434</v>
      </c>
      <c r="I66" s="539" t="s">
        <v>435</v>
      </c>
      <c r="J66" s="538" t="s">
        <v>421</v>
      </c>
      <c r="K66" s="538" t="s">
        <v>422</v>
      </c>
      <c r="L66" s="342"/>
      <c r="M66" s="539" t="s">
        <v>437</v>
      </c>
    </row>
    <row r="67" spans="1:13">
      <c r="B67" s="540"/>
      <c r="C67" s="539"/>
      <c r="D67" s="539"/>
      <c r="E67" s="539"/>
      <c r="F67" s="539"/>
      <c r="G67" s="539"/>
      <c r="H67" s="524"/>
      <c r="I67" s="539"/>
      <c r="J67" s="539"/>
      <c r="K67" s="524"/>
      <c r="L67" s="296"/>
      <c r="M67" s="539"/>
    </row>
    <row r="68" spans="1:13">
      <c r="B68" s="250">
        <v>1</v>
      </c>
      <c r="C68" s="250" t="s">
        <v>457</v>
      </c>
      <c r="D68" s="250" t="s">
        <v>208</v>
      </c>
      <c r="E68" s="250">
        <v>106</v>
      </c>
      <c r="F68" s="250">
        <v>4.0999999999999996</v>
      </c>
      <c r="G68" s="263">
        <v>1301</v>
      </c>
      <c r="H68" s="267">
        <v>16985</v>
      </c>
      <c r="I68" s="267">
        <v>7368</v>
      </c>
      <c r="J68" s="267">
        <f>21%*H68</f>
        <v>3566.85</v>
      </c>
      <c r="K68" s="267">
        <f>H68+I68+J68</f>
        <v>27919.85</v>
      </c>
      <c r="L68" s="267"/>
      <c r="M68" s="250" t="s">
        <v>22</v>
      </c>
    </row>
    <row r="69" spans="1:13">
      <c r="B69" s="250">
        <v>2</v>
      </c>
      <c r="C69" s="250" t="s">
        <v>458</v>
      </c>
      <c r="D69" s="250" t="s">
        <v>208</v>
      </c>
      <c r="E69" s="250">
        <v>88</v>
      </c>
      <c r="F69" s="250">
        <v>3.3</v>
      </c>
      <c r="G69" s="263">
        <v>1393</v>
      </c>
      <c r="H69" s="267">
        <v>18149</v>
      </c>
      <c r="I69" s="267">
        <v>3614</v>
      </c>
      <c r="J69" s="267">
        <f t="shared" ref="J69:J71" si="12">21%*H69</f>
        <v>3811.29</v>
      </c>
      <c r="K69" s="267">
        <f t="shared" ref="K69:K71" si="13">H69+I69+J69</f>
        <v>25574.29</v>
      </c>
      <c r="L69" s="267"/>
      <c r="M69" s="250" t="s">
        <v>16</v>
      </c>
    </row>
    <row r="70" spans="1:13">
      <c r="B70" s="250">
        <v>3</v>
      </c>
      <c r="C70" s="250" t="s">
        <v>459</v>
      </c>
      <c r="D70" s="250" t="s">
        <v>208</v>
      </c>
      <c r="E70" s="250">
        <v>95</v>
      </c>
      <c r="F70" s="250">
        <v>3.7</v>
      </c>
      <c r="G70" s="263">
        <v>1286</v>
      </c>
      <c r="H70" s="267">
        <v>17998</v>
      </c>
      <c r="I70" s="267">
        <v>4662</v>
      </c>
      <c r="J70" s="267">
        <f t="shared" si="12"/>
        <v>3779.58</v>
      </c>
      <c r="K70" s="267">
        <f t="shared" si="13"/>
        <v>26439.58</v>
      </c>
      <c r="L70" s="267"/>
      <c r="M70" s="250" t="s">
        <v>19</v>
      </c>
    </row>
    <row r="71" spans="1:13">
      <c r="B71" s="250">
        <v>4</v>
      </c>
      <c r="C71" s="250" t="s">
        <v>460</v>
      </c>
      <c r="D71" s="250" t="s">
        <v>208</v>
      </c>
      <c r="E71" s="250">
        <v>98</v>
      </c>
      <c r="F71" s="250">
        <v>3.8</v>
      </c>
      <c r="G71" s="263">
        <v>1268</v>
      </c>
      <c r="H71" s="267">
        <v>18805</v>
      </c>
      <c r="I71" s="267">
        <v>5111</v>
      </c>
      <c r="J71" s="267">
        <f t="shared" si="12"/>
        <v>3949.0499999999997</v>
      </c>
      <c r="K71" s="267">
        <f t="shared" si="13"/>
        <v>27865.05</v>
      </c>
      <c r="L71" s="267"/>
      <c r="M71" s="250" t="s">
        <v>22</v>
      </c>
    </row>
    <row r="72" spans="1:13" ht="16.5" thickBot="1"/>
    <row r="73" spans="1:13" ht="16.5" thickBot="1">
      <c r="C73" s="331" t="s">
        <v>461</v>
      </c>
      <c r="D73" s="332" t="s">
        <v>208</v>
      </c>
      <c r="E73" s="334">
        <f>AVERAGE(E68:E71)</f>
        <v>96.75</v>
      </c>
      <c r="F73" s="333">
        <f>AVERAGE(F68:F71)</f>
        <v>3.7249999999999996</v>
      </c>
      <c r="G73" s="334">
        <f t="shared" ref="G73:K73" si="14">AVERAGE(G68:G71)</f>
        <v>1312</v>
      </c>
      <c r="H73" s="335">
        <f t="shared" si="14"/>
        <v>17984.25</v>
      </c>
      <c r="I73" s="335">
        <f t="shared" si="14"/>
        <v>5188.75</v>
      </c>
      <c r="J73" s="335">
        <f t="shared" si="14"/>
        <v>3776.6924999999997</v>
      </c>
      <c r="K73" s="335">
        <f t="shared" si="14"/>
        <v>26949.692500000001</v>
      </c>
      <c r="L73" s="335">
        <f>332/3</f>
        <v>110.66666666666667</v>
      </c>
      <c r="M73" s="336"/>
    </row>
    <row r="74" spans="1:13" ht="16.149999999999999" customHeight="1">
      <c r="D74" s="340"/>
      <c r="E74" s="340"/>
    </row>
    <row r="75" spans="1:13">
      <c r="A75" s="329" t="s">
        <v>462</v>
      </c>
    </row>
    <row r="76" spans="1:13">
      <c r="A76" s="329"/>
    </row>
    <row r="77" spans="1:13" ht="16.149999999999999" customHeight="1">
      <c r="A77" s="329"/>
      <c r="B77" s="540"/>
      <c r="C77" s="539" t="s">
        <v>419</v>
      </c>
      <c r="D77" s="539" t="s">
        <v>420</v>
      </c>
      <c r="E77" s="539" t="s">
        <v>431</v>
      </c>
      <c r="F77" s="539" t="s">
        <v>432</v>
      </c>
      <c r="G77" s="539" t="s">
        <v>433</v>
      </c>
      <c r="H77" s="538" t="s">
        <v>434</v>
      </c>
      <c r="I77" s="539" t="s">
        <v>435</v>
      </c>
      <c r="J77" s="538" t="s">
        <v>421</v>
      </c>
      <c r="K77" s="538" t="s">
        <v>422</v>
      </c>
      <c r="L77" s="538" t="s">
        <v>436</v>
      </c>
      <c r="M77" s="539" t="s">
        <v>437</v>
      </c>
    </row>
    <row r="78" spans="1:13">
      <c r="A78" s="329"/>
      <c r="B78" s="540"/>
      <c r="C78" s="539"/>
      <c r="D78" s="539"/>
      <c r="E78" s="539"/>
      <c r="F78" s="539"/>
      <c r="G78" s="539"/>
      <c r="H78" s="524"/>
      <c r="I78" s="539"/>
      <c r="J78" s="539"/>
      <c r="K78" s="524"/>
      <c r="L78" s="524"/>
      <c r="M78" s="539"/>
    </row>
    <row r="79" spans="1:13">
      <c r="A79" s="329"/>
      <c r="B79" s="250">
        <v>1</v>
      </c>
      <c r="C79" s="250" t="s">
        <v>463</v>
      </c>
      <c r="D79" s="250" t="s">
        <v>428</v>
      </c>
      <c r="E79" s="250">
        <v>114</v>
      </c>
      <c r="F79" s="317">
        <v>5</v>
      </c>
      <c r="G79" s="250">
        <v>1367</v>
      </c>
      <c r="H79" s="267">
        <v>27053</v>
      </c>
      <c r="I79" s="267">
        <v>4301</v>
      </c>
      <c r="J79" s="267">
        <f>21%*H79</f>
        <v>5681.13</v>
      </c>
      <c r="K79" s="267">
        <f>H79+I79+J79</f>
        <v>37035.129999999997</v>
      </c>
      <c r="L79" s="267"/>
      <c r="M79" s="250" t="s">
        <v>11</v>
      </c>
    </row>
    <row r="80" spans="1:13">
      <c r="A80" s="329"/>
      <c r="B80" s="250">
        <v>2</v>
      </c>
      <c r="C80" s="250" t="s">
        <v>464</v>
      </c>
      <c r="D80" s="250" t="s">
        <v>428</v>
      </c>
      <c r="E80" s="250">
        <v>129</v>
      </c>
      <c r="F80" s="250">
        <v>5.6</v>
      </c>
      <c r="G80" s="250">
        <v>1395</v>
      </c>
      <c r="H80" s="267">
        <v>29461</v>
      </c>
      <c r="I80" s="267">
        <v>6386</v>
      </c>
      <c r="J80" s="267">
        <f t="shared" ref="J80:J82" si="15">21%*H80</f>
        <v>6186.8099999999995</v>
      </c>
      <c r="K80" s="267">
        <f t="shared" ref="K80:K82" si="16">H80+I80+J80</f>
        <v>42033.81</v>
      </c>
      <c r="L80" s="267"/>
      <c r="M80" s="250" t="s">
        <v>16</v>
      </c>
    </row>
    <row r="81" spans="1:13">
      <c r="A81" s="329"/>
      <c r="B81" s="250">
        <v>3</v>
      </c>
      <c r="C81" s="250" t="s">
        <v>465</v>
      </c>
      <c r="D81" s="250" t="s">
        <v>428</v>
      </c>
      <c r="E81" s="250">
        <v>119</v>
      </c>
      <c r="F81" s="250">
        <v>5.0999999999999996</v>
      </c>
      <c r="G81" s="250">
        <v>1575</v>
      </c>
      <c r="H81" s="267">
        <v>28102</v>
      </c>
      <c r="I81" s="267">
        <v>4996</v>
      </c>
      <c r="J81" s="267">
        <f t="shared" si="15"/>
        <v>5901.42</v>
      </c>
      <c r="K81" s="267">
        <f t="shared" si="16"/>
        <v>38999.42</v>
      </c>
      <c r="L81" s="267"/>
      <c r="M81" s="250" t="s">
        <v>16</v>
      </c>
    </row>
    <row r="82" spans="1:13">
      <c r="A82" s="329"/>
      <c r="B82" s="250">
        <v>4</v>
      </c>
      <c r="C82" s="250" t="s">
        <v>466</v>
      </c>
      <c r="D82" s="250" t="s">
        <v>428</v>
      </c>
      <c r="E82" s="250">
        <v>117</v>
      </c>
      <c r="F82" s="250">
        <v>5.0999999999999996</v>
      </c>
      <c r="G82" s="250">
        <v>1650</v>
      </c>
      <c r="H82" s="267">
        <v>27638</v>
      </c>
      <c r="I82" s="267">
        <v>4718</v>
      </c>
      <c r="J82" s="267">
        <f t="shared" si="15"/>
        <v>5803.98</v>
      </c>
      <c r="K82" s="267">
        <f t="shared" si="16"/>
        <v>38159.979999999996</v>
      </c>
      <c r="L82" s="267"/>
      <c r="M82" s="250" t="s">
        <v>16</v>
      </c>
    </row>
    <row r="83" spans="1:13" ht="16.5" thickBot="1">
      <c r="A83" s="329"/>
    </row>
    <row r="84" spans="1:13" ht="16.5" thickBot="1">
      <c r="A84" s="329"/>
      <c r="C84" s="331" t="s">
        <v>467</v>
      </c>
      <c r="D84" s="332" t="s">
        <v>240</v>
      </c>
      <c r="E84" s="334">
        <f>AVERAGE(E79:E82)</f>
        <v>119.75</v>
      </c>
      <c r="F84" s="333">
        <f t="shared" ref="F84:K84" si="17">AVERAGE(F79:F82)</f>
        <v>5.1999999999999993</v>
      </c>
      <c r="G84" s="339">
        <f t="shared" si="17"/>
        <v>1496.75</v>
      </c>
      <c r="H84" s="335">
        <f t="shared" si="17"/>
        <v>28063.5</v>
      </c>
      <c r="I84" s="335">
        <f t="shared" si="17"/>
        <v>5100.25</v>
      </c>
      <c r="J84" s="335">
        <f t="shared" si="17"/>
        <v>5893.335</v>
      </c>
      <c r="K84" s="335">
        <f t="shared" si="17"/>
        <v>39057.084999999999</v>
      </c>
      <c r="L84" s="335">
        <f>206/3</f>
        <v>68.666666666666671</v>
      </c>
      <c r="M84" s="336"/>
    </row>
    <row r="85" spans="1:13">
      <c r="A85" s="329"/>
    </row>
    <row r="86" spans="1:13" ht="16.149999999999999" customHeight="1">
      <c r="B86" s="540"/>
      <c r="C86" s="539" t="s">
        <v>419</v>
      </c>
      <c r="D86" s="539" t="s">
        <v>420</v>
      </c>
      <c r="E86" s="539" t="s">
        <v>431</v>
      </c>
      <c r="F86" s="539" t="s">
        <v>432</v>
      </c>
      <c r="G86" s="539" t="s">
        <v>433</v>
      </c>
      <c r="H86" s="538" t="s">
        <v>434</v>
      </c>
      <c r="I86" s="539" t="s">
        <v>435</v>
      </c>
      <c r="J86" s="538" t="s">
        <v>421</v>
      </c>
      <c r="K86" s="538" t="s">
        <v>422</v>
      </c>
      <c r="L86" s="538" t="s">
        <v>436</v>
      </c>
      <c r="M86" s="539" t="s">
        <v>437</v>
      </c>
    </row>
    <row r="87" spans="1:13">
      <c r="B87" s="540"/>
      <c r="C87" s="539"/>
      <c r="D87" s="539"/>
      <c r="E87" s="539"/>
      <c r="F87" s="539"/>
      <c r="G87" s="539"/>
      <c r="H87" s="524"/>
      <c r="I87" s="539"/>
      <c r="J87" s="539"/>
      <c r="K87" s="524"/>
      <c r="L87" s="524"/>
      <c r="M87" s="539"/>
    </row>
    <row r="88" spans="1:13">
      <c r="B88" s="250">
        <v>1</v>
      </c>
      <c r="C88" s="250" t="s">
        <v>468</v>
      </c>
      <c r="D88" s="250" t="s">
        <v>208</v>
      </c>
      <c r="E88" s="250">
        <v>114</v>
      </c>
      <c r="F88" s="250">
        <v>4.3</v>
      </c>
      <c r="G88" s="250">
        <v>1367</v>
      </c>
      <c r="H88" s="267">
        <v>28997</v>
      </c>
      <c r="I88" s="267">
        <v>5788</v>
      </c>
      <c r="J88" s="267">
        <f>21%*H88</f>
        <v>6089.37</v>
      </c>
      <c r="K88" s="267">
        <f>H88+I88+J88</f>
        <v>40874.370000000003</v>
      </c>
      <c r="L88" s="267"/>
      <c r="M88" s="250" t="s">
        <v>22</v>
      </c>
    </row>
    <row r="89" spans="1:13">
      <c r="B89" s="250">
        <v>2</v>
      </c>
      <c r="C89" s="250" t="s">
        <v>469</v>
      </c>
      <c r="D89" s="250" t="s">
        <v>208</v>
      </c>
      <c r="E89" s="250">
        <v>99</v>
      </c>
      <c r="F89" s="250">
        <v>3.8</v>
      </c>
      <c r="G89" s="250">
        <v>1395</v>
      </c>
      <c r="H89" s="267">
        <v>26664</v>
      </c>
      <c r="I89" s="267">
        <v>5337</v>
      </c>
      <c r="J89" s="267">
        <f t="shared" ref="J89:J91" si="18">21%*H89</f>
        <v>5599.44</v>
      </c>
      <c r="K89" s="267">
        <f t="shared" ref="K89:K91" si="19">H89+I89+J89</f>
        <v>37600.44</v>
      </c>
      <c r="L89" s="267"/>
      <c r="M89" s="250" t="s">
        <v>16</v>
      </c>
    </row>
    <row r="90" spans="1:13">
      <c r="B90" s="250">
        <v>3</v>
      </c>
      <c r="C90" s="250" t="s">
        <v>470</v>
      </c>
      <c r="D90" s="250" t="s">
        <v>208</v>
      </c>
      <c r="E90" s="250">
        <v>103</v>
      </c>
      <c r="F90" s="250">
        <v>3.9</v>
      </c>
      <c r="G90" s="250">
        <v>1575</v>
      </c>
      <c r="H90" s="267">
        <v>30590</v>
      </c>
      <c r="I90" s="267">
        <v>6014</v>
      </c>
      <c r="J90" s="267">
        <f t="shared" si="18"/>
        <v>6423.9</v>
      </c>
      <c r="K90" s="267">
        <f t="shared" si="19"/>
        <v>43027.9</v>
      </c>
      <c r="L90" s="267"/>
      <c r="M90" s="250" t="s">
        <v>22</v>
      </c>
    </row>
    <row r="91" spans="1:13">
      <c r="B91" s="250">
        <v>4</v>
      </c>
      <c r="C91" s="250" t="s">
        <v>471</v>
      </c>
      <c r="D91" s="250" t="s">
        <v>208</v>
      </c>
      <c r="E91" s="250">
        <v>103</v>
      </c>
      <c r="F91" s="317">
        <v>4</v>
      </c>
      <c r="G91" s="250">
        <v>1650</v>
      </c>
      <c r="H91" s="267">
        <v>30372</v>
      </c>
      <c r="I91" s="267">
        <v>6240</v>
      </c>
      <c r="J91" s="267">
        <f t="shared" si="18"/>
        <v>6378.12</v>
      </c>
      <c r="K91" s="267">
        <f t="shared" si="19"/>
        <v>42990.12</v>
      </c>
      <c r="L91" s="267"/>
      <c r="M91" s="250" t="s">
        <v>19</v>
      </c>
    </row>
    <row r="92" spans="1:13" ht="16.5" thickBot="1"/>
    <row r="93" spans="1:13" ht="16.5" thickBot="1">
      <c r="C93" s="331" t="s">
        <v>472</v>
      </c>
      <c r="D93" s="332" t="s">
        <v>208</v>
      </c>
      <c r="E93" s="334">
        <f>AVERAGE(E88:E91)</f>
        <v>104.75</v>
      </c>
      <c r="F93" s="333">
        <f t="shared" ref="F93:K93" si="20">AVERAGE(F88:F91)</f>
        <v>4</v>
      </c>
      <c r="G93" s="339">
        <f t="shared" si="20"/>
        <v>1496.75</v>
      </c>
      <c r="H93" s="335">
        <f>AVERAGE(H88:H91)</f>
        <v>29155.75</v>
      </c>
      <c r="I93" s="335">
        <f t="shared" si="20"/>
        <v>5844.75</v>
      </c>
      <c r="J93" s="335">
        <f t="shared" si="20"/>
        <v>6122.7074999999995</v>
      </c>
      <c r="K93" s="335">
        <f t="shared" si="20"/>
        <v>41123.207499999997</v>
      </c>
      <c r="L93" s="335">
        <f>402/3</f>
        <v>134</v>
      </c>
      <c r="M93" s="336"/>
    </row>
    <row r="94" spans="1:13">
      <c r="C94" s="288"/>
      <c r="D94" s="288"/>
      <c r="E94" s="337"/>
      <c r="F94" s="338"/>
      <c r="G94" s="288"/>
      <c r="H94" s="288"/>
      <c r="I94" s="288"/>
      <c r="J94" s="288"/>
      <c r="K94" s="288"/>
      <c r="L94" s="288"/>
      <c r="M94" s="288"/>
    </row>
    <row r="95" spans="1:13">
      <c r="A95" s="329" t="s">
        <v>473</v>
      </c>
    </row>
    <row r="96" spans="1:13">
      <c r="A96" s="329"/>
    </row>
    <row r="97" spans="1:13" ht="16.149999999999999" customHeight="1">
      <c r="A97" s="329"/>
      <c r="B97" s="540"/>
      <c r="C97" s="539" t="s">
        <v>419</v>
      </c>
      <c r="D97" s="539" t="s">
        <v>420</v>
      </c>
      <c r="E97" s="539" t="s">
        <v>431</v>
      </c>
      <c r="F97" s="539" t="s">
        <v>432</v>
      </c>
      <c r="G97" s="539" t="s">
        <v>433</v>
      </c>
      <c r="H97" s="538" t="s">
        <v>434</v>
      </c>
      <c r="I97" s="539" t="s">
        <v>435</v>
      </c>
      <c r="J97" s="538" t="s">
        <v>421</v>
      </c>
      <c r="K97" s="538" t="s">
        <v>422</v>
      </c>
      <c r="L97" s="538" t="s">
        <v>436</v>
      </c>
      <c r="M97" s="539" t="s">
        <v>437</v>
      </c>
    </row>
    <row r="98" spans="1:13">
      <c r="A98" s="329"/>
      <c r="B98" s="540"/>
      <c r="C98" s="539"/>
      <c r="D98" s="539"/>
      <c r="E98" s="539"/>
      <c r="F98" s="539"/>
      <c r="G98" s="539"/>
      <c r="H98" s="524"/>
      <c r="I98" s="539"/>
      <c r="J98" s="539"/>
      <c r="K98" s="524"/>
      <c r="L98" s="524"/>
      <c r="M98" s="539"/>
    </row>
    <row r="99" spans="1:13">
      <c r="A99" s="329"/>
      <c r="B99" s="250">
        <v>1</v>
      </c>
      <c r="C99" s="250" t="s">
        <v>474</v>
      </c>
      <c r="D99" s="250" t="s">
        <v>428</v>
      </c>
      <c r="E99" s="250">
        <v>142</v>
      </c>
      <c r="F99" s="317">
        <v>6.3</v>
      </c>
      <c r="G99" s="250">
        <v>1515</v>
      </c>
      <c r="H99" s="267">
        <v>37955</v>
      </c>
      <c r="I99" s="267">
        <v>7220</v>
      </c>
      <c r="J99" s="267">
        <f>21%*H99</f>
        <v>7970.5499999999993</v>
      </c>
      <c r="K99" s="267">
        <f>H99+I99+J99</f>
        <v>53145.55</v>
      </c>
      <c r="M99" s="250" t="s">
        <v>19</v>
      </c>
    </row>
    <row r="100" spans="1:13">
      <c r="A100" s="329"/>
      <c r="B100" s="250">
        <v>2</v>
      </c>
      <c r="C100" s="250" t="s">
        <v>475</v>
      </c>
      <c r="D100" s="250" t="s">
        <v>428</v>
      </c>
      <c r="E100" s="250">
        <v>126</v>
      </c>
      <c r="F100" s="250">
        <v>5.5</v>
      </c>
      <c r="G100" s="250">
        <v>1615</v>
      </c>
      <c r="H100" s="267">
        <v>47390</v>
      </c>
      <c r="I100" s="267">
        <v>5969</v>
      </c>
      <c r="J100" s="267">
        <f t="shared" ref="J100:J102" si="21">21%*H100</f>
        <v>9951.9</v>
      </c>
      <c r="K100" s="267">
        <f t="shared" ref="K100:K102" si="22">H100+I100+J100</f>
        <v>63310.9</v>
      </c>
      <c r="M100" s="250" t="s">
        <v>16</v>
      </c>
    </row>
    <row r="101" spans="1:13">
      <c r="A101" s="329"/>
      <c r="B101" s="250">
        <v>3</v>
      </c>
      <c r="C101" s="250" t="s">
        <v>476</v>
      </c>
      <c r="D101" s="250" t="s">
        <v>428</v>
      </c>
      <c r="E101" s="250">
        <v>149</v>
      </c>
      <c r="F101" s="250">
        <v>6.5</v>
      </c>
      <c r="G101" s="250">
        <v>1612</v>
      </c>
      <c r="H101" s="267">
        <v>37107</v>
      </c>
      <c r="I101" s="267">
        <v>9616</v>
      </c>
      <c r="J101" s="267">
        <f t="shared" si="21"/>
        <v>7792.4699999999993</v>
      </c>
      <c r="K101" s="267">
        <f t="shared" si="22"/>
        <v>54515.47</v>
      </c>
      <c r="M101" s="250" t="s">
        <v>19</v>
      </c>
    </row>
    <row r="102" spans="1:13">
      <c r="A102" s="329"/>
      <c r="B102" s="250">
        <v>4</v>
      </c>
      <c r="C102" s="250" t="s">
        <v>477</v>
      </c>
      <c r="D102" s="250" t="s">
        <v>428</v>
      </c>
      <c r="E102" s="250">
        <v>185</v>
      </c>
      <c r="F102" s="250">
        <v>8</v>
      </c>
      <c r="G102" s="250">
        <v>1735</v>
      </c>
      <c r="H102" s="267">
        <v>43449</v>
      </c>
      <c r="I102" s="267">
        <v>23127</v>
      </c>
      <c r="J102" s="267">
        <f t="shared" si="21"/>
        <v>9124.2899999999991</v>
      </c>
      <c r="K102" s="267">
        <f t="shared" si="22"/>
        <v>75700.289999999994</v>
      </c>
      <c r="M102" s="250" t="s">
        <v>26</v>
      </c>
    </row>
    <row r="103" spans="1:13" ht="16.5" thickBot="1">
      <c r="A103" s="329"/>
      <c r="J103" s="267"/>
      <c r="K103" s="267"/>
    </row>
    <row r="104" spans="1:13" ht="16.149999999999999" customHeight="1" thickBot="1">
      <c r="A104" s="329"/>
      <c r="C104" s="331" t="s">
        <v>478</v>
      </c>
      <c r="D104" s="332" t="s">
        <v>240</v>
      </c>
      <c r="E104" s="334">
        <f>AVERAGE(E99:E102)</f>
        <v>150.5</v>
      </c>
      <c r="F104" s="333">
        <f>AVERAGE(F99:F102)</f>
        <v>6.5750000000000002</v>
      </c>
      <c r="G104" s="339">
        <f t="shared" ref="G104" si="23">AVERAGE(G99:G102)</f>
        <v>1619.25</v>
      </c>
      <c r="H104" s="335">
        <f>AVERAGE(H99:H102)</f>
        <v>41475.25</v>
      </c>
      <c r="I104" s="335">
        <f t="shared" ref="I104:K104" si="24">AVERAGE(I99:I102)</f>
        <v>11483</v>
      </c>
      <c r="J104" s="335">
        <f t="shared" si="24"/>
        <v>8709.8024999999998</v>
      </c>
      <c r="K104" s="335">
        <f t="shared" si="24"/>
        <v>61668.052500000005</v>
      </c>
      <c r="L104" s="335">
        <f>235/3</f>
        <v>78.333333333333329</v>
      </c>
      <c r="M104" s="336"/>
    </row>
    <row r="105" spans="1:13" ht="16.149999999999999" customHeight="1">
      <c r="A105" s="329"/>
    </row>
    <row r="106" spans="1:13" ht="16.149999999999999" customHeight="1">
      <c r="B106" s="540"/>
      <c r="C106" s="539" t="s">
        <v>419</v>
      </c>
      <c r="D106" s="539" t="s">
        <v>420</v>
      </c>
      <c r="E106" s="539" t="s">
        <v>431</v>
      </c>
      <c r="F106" s="539" t="s">
        <v>432</v>
      </c>
      <c r="G106" s="539" t="s">
        <v>433</v>
      </c>
      <c r="H106" s="538" t="s">
        <v>434</v>
      </c>
      <c r="I106" s="539" t="s">
        <v>435</v>
      </c>
      <c r="J106" s="538" t="s">
        <v>421</v>
      </c>
      <c r="K106" s="538" t="s">
        <v>422</v>
      </c>
      <c r="L106" s="538" t="s">
        <v>436</v>
      </c>
      <c r="M106" s="539" t="s">
        <v>437</v>
      </c>
    </row>
    <row r="107" spans="1:13">
      <c r="B107" s="540"/>
      <c r="C107" s="539"/>
      <c r="D107" s="539"/>
      <c r="E107" s="539"/>
      <c r="F107" s="539"/>
      <c r="G107" s="539"/>
      <c r="H107" s="524"/>
      <c r="I107" s="539"/>
      <c r="J107" s="539"/>
      <c r="K107" s="524"/>
      <c r="L107" s="524"/>
      <c r="M107" s="539"/>
    </row>
    <row r="108" spans="1:13" ht="16.899999999999999" customHeight="1">
      <c r="B108" s="250">
        <v>1</v>
      </c>
      <c r="C108" s="250" t="s">
        <v>479</v>
      </c>
      <c r="D108" s="250" t="s">
        <v>208</v>
      </c>
      <c r="E108" s="250">
        <v>112</v>
      </c>
      <c r="F108" s="250">
        <v>4.3</v>
      </c>
      <c r="G108" s="250">
        <v>1580</v>
      </c>
      <c r="H108" s="267">
        <v>38057</v>
      </c>
      <c r="I108" s="267">
        <v>8271</v>
      </c>
      <c r="J108" s="267">
        <f>21%*H108</f>
        <v>7991.9699999999993</v>
      </c>
      <c r="K108" s="343">
        <f>H108+I108+J108</f>
        <v>54319.97</v>
      </c>
      <c r="M108" s="250" t="s">
        <v>19</v>
      </c>
    </row>
    <row r="109" spans="1:13" ht="16.899999999999999" customHeight="1">
      <c r="B109" s="250">
        <v>2</v>
      </c>
      <c r="C109" s="250" t="s">
        <v>480</v>
      </c>
      <c r="D109" s="250" t="s">
        <v>208</v>
      </c>
      <c r="E109" s="250">
        <v>109</v>
      </c>
      <c r="F109" s="250">
        <v>4.0999999999999996</v>
      </c>
      <c r="G109" s="250">
        <v>1615</v>
      </c>
      <c r="H109" s="267">
        <v>41809</v>
      </c>
      <c r="I109" s="250">
        <v>8780</v>
      </c>
      <c r="J109" s="267">
        <f>21%*H109</f>
        <v>8779.89</v>
      </c>
      <c r="K109" s="343">
        <f t="shared" ref="K109:K111" si="25">H109+I109+J109</f>
        <v>59368.89</v>
      </c>
      <c r="M109" s="250" t="s">
        <v>16</v>
      </c>
    </row>
    <row r="110" spans="1:13" ht="16.899999999999999" customHeight="1">
      <c r="B110" s="250">
        <v>3</v>
      </c>
      <c r="C110" s="250" t="s">
        <v>481</v>
      </c>
      <c r="D110" s="250" t="s">
        <v>208</v>
      </c>
      <c r="E110" s="250">
        <v>116</v>
      </c>
      <c r="F110" s="250">
        <v>4.4000000000000004</v>
      </c>
      <c r="G110" s="250">
        <v>1600</v>
      </c>
      <c r="H110" s="267">
        <v>35654</v>
      </c>
      <c r="I110" s="250">
        <v>9174</v>
      </c>
      <c r="J110" s="267">
        <f t="shared" ref="J110:J111" si="26">21%*H110</f>
        <v>7487.34</v>
      </c>
      <c r="K110" s="343">
        <f t="shared" si="25"/>
        <v>52315.34</v>
      </c>
      <c r="M110" s="250" t="s">
        <v>19</v>
      </c>
    </row>
    <row r="111" spans="1:13" ht="16.899999999999999" customHeight="1">
      <c r="B111" s="250">
        <v>4</v>
      </c>
      <c r="C111" s="250" t="s">
        <v>482</v>
      </c>
      <c r="D111" s="250" t="s">
        <v>208</v>
      </c>
      <c r="E111" s="250">
        <v>149</v>
      </c>
      <c r="F111" s="317">
        <v>5.7</v>
      </c>
      <c r="G111" s="250">
        <v>1800</v>
      </c>
      <c r="H111" s="267">
        <v>49900</v>
      </c>
      <c r="I111" s="250">
        <v>17071</v>
      </c>
      <c r="J111" s="267">
        <f t="shared" si="26"/>
        <v>10479</v>
      </c>
      <c r="K111" s="343">
        <f t="shared" si="25"/>
        <v>77450</v>
      </c>
      <c r="M111" s="250" t="s">
        <v>26</v>
      </c>
    </row>
    <row r="112" spans="1:13" ht="16.899999999999999" customHeight="1" thickBot="1"/>
    <row r="113" spans="1:13" ht="16.5" thickBot="1">
      <c r="C113" s="331" t="s">
        <v>483</v>
      </c>
      <c r="D113" s="332" t="s">
        <v>208</v>
      </c>
      <c r="E113" s="334">
        <f>AVERAGE(E108:E111)</f>
        <v>121.5</v>
      </c>
      <c r="F113" s="333">
        <f>AVERAGE(F108:F111)</f>
        <v>4.625</v>
      </c>
      <c r="G113" s="339">
        <f t="shared" ref="G113" si="27">AVERAGE(G108:G111)</f>
        <v>1648.75</v>
      </c>
      <c r="H113" s="335">
        <f>AVERAGE(H108:H111)</f>
        <v>41355</v>
      </c>
      <c r="I113" s="335">
        <f t="shared" ref="I113:K113" si="28">AVERAGE(I108:I111)</f>
        <v>10824</v>
      </c>
      <c r="J113" s="335">
        <f t="shared" si="28"/>
        <v>8684.5499999999993</v>
      </c>
      <c r="K113" s="335">
        <f t="shared" si="28"/>
        <v>60863.55</v>
      </c>
      <c r="L113" s="332">
        <f>444/3</f>
        <v>148</v>
      </c>
      <c r="M113" s="336"/>
    </row>
    <row r="114" spans="1:13" ht="16.899999999999999" customHeight="1">
      <c r="C114" s="288"/>
      <c r="D114" s="288"/>
      <c r="E114" s="337"/>
      <c r="F114" s="338"/>
      <c r="G114" s="288"/>
      <c r="H114" s="288"/>
      <c r="I114" s="288"/>
      <c r="J114" s="288"/>
      <c r="K114" s="288"/>
      <c r="L114" s="288"/>
      <c r="M114" s="288"/>
    </row>
    <row r="115" spans="1:13" ht="16.899999999999999" customHeight="1">
      <c r="A115" s="329" t="s">
        <v>484</v>
      </c>
    </row>
    <row r="116" spans="1:13" ht="16.899999999999999" customHeight="1">
      <c r="A116" s="329"/>
    </row>
    <row r="117" spans="1:13" ht="16.899999999999999" customHeight="1">
      <c r="A117" s="329"/>
      <c r="B117" s="540"/>
      <c r="C117" s="539" t="s">
        <v>419</v>
      </c>
      <c r="D117" s="539" t="s">
        <v>420</v>
      </c>
      <c r="E117" s="539" t="s">
        <v>431</v>
      </c>
      <c r="F117" s="539" t="s">
        <v>432</v>
      </c>
      <c r="G117" s="539" t="s">
        <v>433</v>
      </c>
      <c r="H117" s="538" t="s">
        <v>434</v>
      </c>
      <c r="I117" s="539" t="s">
        <v>435</v>
      </c>
      <c r="J117" s="538" t="s">
        <v>421</v>
      </c>
      <c r="K117" s="538" t="s">
        <v>422</v>
      </c>
      <c r="L117" s="538" t="s">
        <v>436</v>
      </c>
      <c r="M117" s="539" t="s">
        <v>437</v>
      </c>
    </row>
    <row r="118" spans="1:13" ht="16.899999999999999" customHeight="1">
      <c r="A118" s="329"/>
      <c r="B118" s="540"/>
      <c r="C118" s="539"/>
      <c r="D118" s="539"/>
      <c r="E118" s="539"/>
      <c r="F118" s="539"/>
      <c r="G118" s="539"/>
      <c r="H118" s="524"/>
      <c r="I118" s="539"/>
      <c r="J118" s="539"/>
      <c r="K118" s="524"/>
      <c r="L118" s="524"/>
      <c r="M118" s="539"/>
    </row>
    <row r="119" spans="1:13" ht="16.899999999999999" customHeight="1">
      <c r="A119" s="329"/>
      <c r="B119" s="250">
        <v>1</v>
      </c>
      <c r="C119" s="250" t="s">
        <v>485</v>
      </c>
      <c r="D119" s="250" t="s">
        <v>428</v>
      </c>
      <c r="E119" s="250">
        <v>187</v>
      </c>
      <c r="F119" s="317">
        <v>8.1999999999999993</v>
      </c>
      <c r="G119" s="250">
        <v>1895</v>
      </c>
      <c r="H119" s="267">
        <v>71766</v>
      </c>
      <c r="I119" s="267">
        <v>24043</v>
      </c>
      <c r="J119" s="267">
        <f>21%*H119</f>
        <v>15070.859999999999</v>
      </c>
      <c r="K119" s="267">
        <f>H119+I119+J119</f>
        <v>110879.86</v>
      </c>
      <c r="M119" s="250" t="s">
        <v>22</v>
      </c>
    </row>
    <row r="120" spans="1:13" ht="16.899999999999999" customHeight="1">
      <c r="A120" s="329"/>
      <c r="B120" s="250">
        <v>2</v>
      </c>
      <c r="C120" s="250" t="s">
        <v>486</v>
      </c>
      <c r="D120" s="250" t="s">
        <v>428</v>
      </c>
      <c r="E120" s="250">
        <v>154</v>
      </c>
      <c r="F120" s="250">
        <v>6.6</v>
      </c>
      <c r="G120" s="250">
        <v>1800</v>
      </c>
      <c r="H120" s="267">
        <v>79070</v>
      </c>
      <c r="I120" s="267">
        <v>10761</v>
      </c>
      <c r="J120" s="267">
        <f t="shared" ref="J120:J122" si="29">21%*H120</f>
        <v>16604.7</v>
      </c>
      <c r="K120" s="267">
        <f t="shared" ref="K120:K122" si="30">H120+I120+J120</f>
        <v>106435.7</v>
      </c>
      <c r="M120" s="250" t="s">
        <v>19</v>
      </c>
    </row>
    <row r="121" spans="1:13" ht="16.899999999999999" customHeight="1">
      <c r="A121" s="329"/>
      <c r="B121" s="250">
        <v>3</v>
      </c>
      <c r="C121" s="250" t="s">
        <v>487</v>
      </c>
      <c r="D121" s="250" t="s">
        <v>428</v>
      </c>
      <c r="E121" s="250">
        <v>175</v>
      </c>
      <c r="F121" s="250">
        <v>7.7</v>
      </c>
      <c r="G121" s="250">
        <v>1850</v>
      </c>
      <c r="H121" s="267">
        <v>80424</v>
      </c>
      <c r="I121" s="267">
        <v>18547</v>
      </c>
      <c r="J121" s="267">
        <f t="shared" si="29"/>
        <v>16889.04</v>
      </c>
      <c r="K121" s="267">
        <f t="shared" si="30"/>
        <v>115860.04000000001</v>
      </c>
      <c r="M121" s="250" t="s">
        <v>22</v>
      </c>
    </row>
    <row r="122" spans="1:13" ht="16.899999999999999" customHeight="1">
      <c r="A122" s="329"/>
      <c r="B122" s="250">
        <v>4</v>
      </c>
      <c r="C122" s="250" t="s">
        <v>488</v>
      </c>
      <c r="D122" s="250" t="s">
        <v>428</v>
      </c>
      <c r="E122" s="250">
        <v>173</v>
      </c>
      <c r="F122" s="250">
        <v>7.6</v>
      </c>
      <c r="G122" s="250">
        <v>1995</v>
      </c>
      <c r="H122" s="267">
        <v>73032</v>
      </c>
      <c r="I122" s="267">
        <v>17631</v>
      </c>
      <c r="J122" s="267">
        <f t="shared" si="29"/>
        <v>15336.72</v>
      </c>
      <c r="K122" s="267">
        <f t="shared" si="30"/>
        <v>105999.72</v>
      </c>
      <c r="M122" s="250" t="s">
        <v>19</v>
      </c>
    </row>
    <row r="123" spans="1:13" ht="16.899999999999999" customHeight="1" thickBot="1">
      <c r="A123" s="329"/>
      <c r="J123" s="267"/>
      <c r="K123" s="267"/>
    </row>
    <row r="124" spans="1:13" ht="16.899999999999999" customHeight="1" thickBot="1">
      <c r="A124" s="329"/>
      <c r="C124" s="331" t="s">
        <v>489</v>
      </c>
      <c r="D124" s="332" t="s">
        <v>240</v>
      </c>
      <c r="E124" s="334">
        <f>AVERAGE(E119:E122)</f>
        <v>172.25</v>
      </c>
      <c r="F124" s="333">
        <f>AVERAGE(F119:F122)</f>
        <v>7.5250000000000004</v>
      </c>
      <c r="G124" s="339">
        <f t="shared" ref="G124" si="31">AVERAGE(G119:G122)</f>
        <v>1885</v>
      </c>
      <c r="H124" s="335">
        <f>AVERAGE(H119:H122)</f>
        <v>76073</v>
      </c>
      <c r="I124" s="335">
        <f t="shared" ref="I124:K124" si="32">AVERAGE(I119:I122)</f>
        <v>17745.5</v>
      </c>
      <c r="J124" s="335">
        <f t="shared" si="32"/>
        <v>15975.33</v>
      </c>
      <c r="K124" s="335">
        <f t="shared" si="32"/>
        <v>109793.82999999999</v>
      </c>
      <c r="L124" s="335">
        <f>303/3</f>
        <v>101</v>
      </c>
      <c r="M124" s="336"/>
    </row>
    <row r="125" spans="1:13">
      <c r="A125" s="329"/>
    </row>
    <row r="126" spans="1:13">
      <c r="B126" s="540"/>
      <c r="C126" s="539" t="s">
        <v>419</v>
      </c>
      <c r="D126" s="539" t="s">
        <v>420</v>
      </c>
      <c r="E126" s="539" t="s">
        <v>431</v>
      </c>
      <c r="F126" s="539" t="s">
        <v>432</v>
      </c>
      <c r="G126" s="539" t="s">
        <v>433</v>
      </c>
      <c r="H126" s="538" t="s">
        <v>434</v>
      </c>
      <c r="I126" s="539" t="s">
        <v>435</v>
      </c>
      <c r="J126" s="538" t="s">
        <v>421</v>
      </c>
      <c r="K126" s="538" t="s">
        <v>422</v>
      </c>
      <c r="L126" s="538" t="s">
        <v>436</v>
      </c>
      <c r="M126" s="539" t="s">
        <v>437</v>
      </c>
    </row>
    <row r="127" spans="1:13">
      <c r="B127" s="540"/>
      <c r="C127" s="539"/>
      <c r="D127" s="539"/>
      <c r="E127" s="539"/>
      <c r="F127" s="539"/>
      <c r="G127" s="539"/>
      <c r="H127" s="524"/>
      <c r="I127" s="539"/>
      <c r="J127" s="539"/>
      <c r="K127" s="524"/>
      <c r="L127" s="524"/>
      <c r="M127" s="539"/>
    </row>
    <row r="128" spans="1:13">
      <c r="B128" s="250">
        <v>1</v>
      </c>
      <c r="C128" s="250" t="s">
        <v>490</v>
      </c>
      <c r="D128" s="250" t="s">
        <v>208</v>
      </c>
      <c r="E128" s="250">
        <v>146</v>
      </c>
      <c r="F128" s="250">
        <v>5.5</v>
      </c>
      <c r="G128" s="250">
        <v>1870</v>
      </c>
      <c r="H128" s="267">
        <v>75240</v>
      </c>
      <c r="I128" s="267">
        <v>16124</v>
      </c>
      <c r="J128" s="267">
        <f>21%*H128</f>
        <v>15800.4</v>
      </c>
      <c r="K128" s="267">
        <f>H128+I128+J128</f>
        <v>107164.4</v>
      </c>
      <c r="M128" s="250" t="s">
        <v>22</v>
      </c>
    </row>
    <row r="129" spans="1:13">
      <c r="B129" s="250">
        <v>2</v>
      </c>
      <c r="C129" s="250" t="s">
        <v>491</v>
      </c>
      <c r="D129" s="250" t="s">
        <v>208</v>
      </c>
      <c r="E129" s="250">
        <v>119</v>
      </c>
      <c r="F129" s="250">
        <v>4.5</v>
      </c>
      <c r="G129" s="250">
        <v>1830</v>
      </c>
      <c r="H129" s="267">
        <v>76714</v>
      </c>
      <c r="I129" s="267">
        <v>9851</v>
      </c>
      <c r="J129" s="267">
        <f t="shared" ref="J129:J131" si="33">21%*H129</f>
        <v>16109.939999999999</v>
      </c>
      <c r="K129" s="267">
        <f t="shared" ref="K129:K131" si="34">H129+I129+J129</f>
        <v>102674.94</v>
      </c>
      <c r="M129" s="250" t="s">
        <v>16</v>
      </c>
    </row>
    <row r="130" spans="1:13">
      <c r="B130" s="250">
        <v>3</v>
      </c>
      <c r="C130" s="250" t="s">
        <v>492</v>
      </c>
      <c r="D130" s="250" t="s">
        <v>208</v>
      </c>
      <c r="E130" s="250">
        <v>176</v>
      </c>
      <c r="F130" s="250">
        <v>6.7</v>
      </c>
      <c r="G130" s="250">
        <v>2050</v>
      </c>
      <c r="H130" s="267">
        <v>99218</v>
      </c>
      <c r="I130" s="267">
        <v>28801</v>
      </c>
      <c r="J130" s="267">
        <f t="shared" si="33"/>
        <v>20835.78</v>
      </c>
      <c r="K130" s="267">
        <f t="shared" si="34"/>
        <v>148854.78</v>
      </c>
      <c r="M130" s="250" t="s">
        <v>30</v>
      </c>
    </row>
    <row r="131" spans="1:13">
      <c r="B131" s="250">
        <v>4</v>
      </c>
      <c r="C131" s="250" t="s">
        <v>493</v>
      </c>
      <c r="D131" s="250" t="s">
        <v>208</v>
      </c>
      <c r="E131" s="250">
        <v>151</v>
      </c>
      <c r="F131" s="317">
        <v>5.8</v>
      </c>
      <c r="G131" s="250">
        <v>2050</v>
      </c>
      <c r="H131" s="267">
        <v>71155</v>
      </c>
      <c r="I131" s="267">
        <v>17703</v>
      </c>
      <c r="J131" s="267">
        <f t="shared" si="33"/>
        <v>14942.55</v>
      </c>
      <c r="K131" s="267">
        <f t="shared" si="34"/>
        <v>103800.55</v>
      </c>
      <c r="M131" s="250" t="s">
        <v>22</v>
      </c>
    </row>
    <row r="132" spans="1:13" ht="16.5" thickBot="1"/>
    <row r="133" spans="1:13" ht="16.5" thickBot="1">
      <c r="C133" s="331" t="s">
        <v>494</v>
      </c>
      <c r="D133" s="332" t="s">
        <v>208</v>
      </c>
      <c r="E133" s="334">
        <f>AVERAGE(E128:E131)</f>
        <v>148</v>
      </c>
      <c r="F133" s="333">
        <f>AVERAGE(F128:F131)</f>
        <v>5.625</v>
      </c>
      <c r="G133" s="339">
        <f t="shared" ref="G133" si="35">AVERAGE(G128:G131)</f>
        <v>1950</v>
      </c>
      <c r="H133" s="335">
        <f>AVERAGE(H128:H131)</f>
        <v>80581.75</v>
      </c>
      <c r="I133" s="335">
        <f t="shared" ref="I133:K133" si="36">AVERAGE(I128:I131)</f>
        <v>18119.75</v>
      </c>
      <c r="J133" s="335">
        <f t="shared" si="36"/>
        <v>16922.1675</v>
      </c>
      <c r="K133" s="335">
        <f t="shared" si="36"/>
        <v>115623.6675</v>
      </c>
      <c r="L133" s="335">
        <f>550/3</f>
        <v>183.33333333333334</v>
      </c>
      <c r="M133" s="336"/>
    </row>
    <row r="135" spans="1:13">
      <c r="A135" s="329" t="s">
        <v>495</v>
      </c>
    </row>
    <row r="136" spans="1:13">
      <c r="A136" s="329"/>
    </row>
    <row r="137" spans="1:13" ht="16.149999999999999" customHeight="1">
      <c r="A137" s="329"/>
      <c r="B137" s="540"/>
      <c r="C137" s="539" t="s">
        <v>419</v>
      </c>
      <c r="D137" s="539" t="s">
        <v>420</v>
      </c>
      <c r="E137" s="539" t="s">
        <v>431</v>
      </c>
      <c r="F137" s="539" t="s">
        <v>432</v>
      </c>
      <c r="G137" s="539" t="s">
        <v>433</v>
      </c>
      <c r="H137" s="538" t="s">
        <v>434</v>
      </c>
      <c r="I137" s="539" t="s">
        <v>435</v>
      </c>
      <c r="J137" s="538" t="s">
        <v>421</v>
      </c>
      <c r="K137" s="538" t="s">
        <v>422</v>
      </c>
      <c r="L137" s="538" t="s">
        <v>436</v>
      </c>
      <c r="M137" s="539" t="s">
        <v>437</v>
      </c>
    </row>
    <row r="138" spans="1:13">
      <c r="A138" s="329"/>
      <c r="B138" s="540"/>
      <c r="C138" s="539"/>
      <c r="D138" s="539"/>
      <c r="E138" s="539"/>
      <c r="F138" s="539"/>
      <c r="G138" s="539"/>
      <c r="H138" s="524"/>
      <c r="I138" s="539"/>
      <c r="J138" s="539"/>
      <c r="K138" s="524"/>
      <c r="L138" s="524"/>
      <c r="M138" s="539"/>
    </row>
    <row r="139" spans="1:13">
      <c r="A139" s="329"/>
      <c r="B139" s="250">
        <v>1</v>
      </c>
      <c r="C139" s="250" t="s">
        <v>496</v>
      </c>
      <c r="D139" s="250" t="s">
        <v>428</v>
      </c>
      <c r="E139" s="250">
        <v>113</v>
      </c>
      <c r="F139" s="317">
        <v>5.0999999999999996</v>
      </c>
      <c r="G139" s="250">
        <v>1076</v>
      </c>
      <c r="H139" s="267">
        <v>11990</v>
      </c>
      <c r="I139" s="267">
        <v>4162</v>
      </c>
      <c r="J139" s="267">
        <f>21%*H139</f>
        <v>2517.9</v>
      </c>
      <c r="K139" s="267">
        <f>H139+J139+I139</f>
        <v>18669.900000000001</v>
      </c>
      <c r="M139" s="250" t="s">
        <v>19</v>
      </c>
    </row>
    <row r="140" spans="1:13">
      <c r="A140" s="329"/>
      <c r="B140" s="250">
        <v>2</v>
      </c>
      <c r="C140" s="250" t="s">
        <v>497</v>
      </c>
      <c r="D140" s="250" t="s">
        <v>428</v>
      </c>
      <c r="E140" s="250">
        <v>114</v>
      </c>
      <c r="F140" s="250">
        <v>4.9000000000000004</v>
      </c>
      <c r="G140" s="250">
        <v>1030</v>
      </c>
      <c r="H140" s="267">
        <v>13586</v>
      </c>
      <c r="I140" s="267">
        <v>4301</v>
      </c>
      <c r="J140" s="267">
        <f t="shared" ref="J140:J142" si="37">21%*H140</f>
        <v>2853.06</v>
      </c>
      <c r="K140" s="267">
        <f t="shared" ref="K140:K142" si="38">H140+J140+I140</f>
        <v>20740.060000000001</v>
      </c>
      <c r="M140" s="250" t="s">
        <v>19</v>
      </c>
    </row>
    <row r="141" spans="1:13">
      <c r="A141" s="329"/>
      <c r="B141" s="250">
        <v>3</v>
      </c>
      <c r="C141" s="250" t="s">
        <v>498</v>
      </c>
      <c r="D141" s="250" t="s">
        <v>428</v>
      </c>
      <c r="E141" s="250">
        <v>153</v>
      </c>
      <c r="F141" s="250">
        <v>6.6</v>
      </c>
      <c r="G141" s="250">
        <v>1255</v>
      </c>
      <c r="H141" s="267">
        <v>10779</v>
      </c>
      <c r="I141" s="267">
        <v>10532</v>
      </c>
      <c r="J141" s="267">
        <f t="shared" si="37"/>
        <v>2263.5899999999997</v>
      </c>
      <c r="K141" s="267">
        <f t="shared" si="38"/>
        <v>23574.59</v>
      </c>
      <c r="M141" s="250" t="s">
        <v>30</v>
      </c>
    </row>
    <row r="142" spans="1:13">
      <c r="A142" s="329"/>
      <c r="B142" s="250">
        <v>4</v>
      </c>
      <c r="C142" s="250" t="s">
        <v>499</v>
      </c>
      <c r="D142" s="250" t="s">
        <v>428</v>
      </c>
      <c r="E142" s="250">
        <v>138</v>
      </c>
      <c r="F142" s="250">
        <v>6.1</v>
      </c>
      <c r="G142" s="250">
        <v>1175</v>
      </c>
      <c r="H142" s="267">
        <v>8969</v>
      </c>
      <c r="I142" s="267">
        <v>7637</v>
      </c>
      <c r="J142" s="267">
        <f t="shared" si="37"/>
        <v>1883.49</v>
      </c>
      <c r="K142" s="267">
        <f t="shared" si="38"/>
        <v>18489.489999999998</v>
      </c>
      <c r="M142" s="250" t="s">
        <v>22</v>
      </c>
    </row>
    <row r="143" spans="1:13" ht="16.5" thickBot="1">
      <c r="A143" s="329"/>
      <c r="J143" s="267"/>
      <c r="K143" s="267"/>
    </row>
    <row r="144" spans="1:13" ht="16.5" thickBot="1">
      <c r="A144" s="329"/>
      <c r="C144" s="331" t="s">
        <v>500</v>
      </c>
      <c r="D144" s="332" t="s">
        <v>240</v>
      </c>
      <c r="E144" s="334">
        <f>AVERAGE(E139:E142)</f>
        <v>129.5</v>
      </c>
      <c r="F144" s="333">
        <f>AVERAGE(F139:F142)</f>
        <v>5.6750000000000007</v>
      </c>
      <c r="G144" s="339">
        <f t="shared" ref="G144" si="39">AVERAGE(G139:G142)</f>
        <v>1134</v>
      </c>
      <c r="H144" s="335">
        <f>AVERAGE(H139:H142)</f>
        <v>11331</v>
      </c>
      <c r="I144" s="335">
        <f t="shared" ref="I144:K144" si="40">AVERAGE(I139:I142)</f>
        <v>6658</v>
      </c>
      <c r="J144" s="335">
        <f t="shared" si="40"/>
        <v>2379.5099999999998</v>
      </c>
      <c r="K144" s="335">
        <f t="shared" si="40"/>
        <v>20368.510000000002</v>
      </c>
      <c r="L144" s="335">
        <f>122/3</f>
        <v>40.666666666666664</v>
      </c>
      <c r="M144" s="336"/>
    </row>
    <row r="145" spans="1:13">
      <c r="A145" s="329"/>
    </row>
    <row r="146" spans="1:13" ht="16.149999999999999" customHeight="1">
      <c r="B146" s="540"/>
      <c r="C146" s="539" t="s">
        <v>419</v>
      </c>
      <c r="D146" s="539" t="s">
        <v>420</v>
      </c>
      <c r="E146" s="539" t="s">
        <v>431</v>
      </c>
      <c r="F146" s="539" t="s">
        <v>432</v>
      </c>
      <c r="G146" s="539" t="s">
        <v>433</v>
      </c>
      <c r="H146" s="538" t="s">
        <v>434</v>
      </c>
      <c r="I146" s="539" t="s">
        <v>435</v>
      </c>
      <c r="J146" s="538" t="s">
        <v>421</v>
      </c>
      <c r="K146" s="538" t="s">
        <v>422</v>
      </c>
      <c r="L146" s="538" t="s">
        <v>436</v>
      </c>
      <c r="M146" s="539" t="s">
        <v>437</v>
      </c>
    </row>
    <row r="147" spans="1:13" ht="16.149999999999999" customHeight="1">
      <c r="B147" s="540"/>
      <c r="C147" s="539"/>
      <c r="D147" s="539"/>
      <c r="E147" s="539"/>
      <c r="F147" s="539"/>
      <c r="G147" s="539"/>
      <c r="H147" s="524"/>
      <c r="I147" s="539"/>
      <c r="J147" s="539"/>
      <c r="K147" s="524"/>
      <c r="L147" s="524"/>
      <c r="M147" s="539"/>
    </row>
    <row r="148" spans="1:13">
      <c r="B148" s="250">
        <v>1</v>
      </c>
      <c r="C148" s="250" t="s">
        <v>501</v>
      </c>
      <c r="D148" s="250" t="s">
        <v>208</v>
      </c>
      <c r="E148" s="250">
        <v>101</v>
      </c>
      <c r="F148" s="250">
        <v>3.9</v>
      </c>
      <c r="G148" s="250">
        <v>1165</v>
      </c>
      <c r="H148" s="267">
        <v>18001</v>
      </c>
      <c r="I148" s="267">
        <v>5788</v>
      </c>
      <c r="J148" s="267">
        <f>21%*H148</f>
        <v>3780.21</v>
      </c>
      <c r="K148" s="267">
        <f>H148+I148+J148</f>
        <v>27569.21</v>
      </c>
      <c r="M148" s="250" t="s">
        <v>26</v>
      </c>
    </row>
    <row r="149" spans="1:13">
      <c r="B149" s="250">
        <v>2</v>
      </c>
      <c r="C149" s="250" t="s">
        <v>502</v>
      </c>
      <c r="D149" s="250" t="s">
        <v>208</v>
      </c>
      <c r="E149" s="250">
        <v>96</v>
      </c>
      <c r="F149" s="250">
        <v>3.7</v>
      </c>
      <c r="G149" s="250">
        <v>1175</v>
      </c>
      <c r="H149" s="267">
        <v>19726</v>
      </c>
      <c r="I149" s="267">
        <v>4812</v>
      </c>
      <c r="J149" s="267">
        <f t="shared" ref="J149:J151" si="41">21%*H149</f>
        <v>4142.46</v>
      </c>
      <c r="K149" s="267">
        <f t="shared" ref="K149:K151" si="42">H149+I149+J149</f>
        <v>28680.46</v>
      </c>
      <c r="M149" s="250" t="s">
        <v>22</v>
      </c>
    </row>
    <row r="150" spans="1:13">
      <c r="B150" s="250">
        <v>3</v>
      </c>
      <c r="C150" s="250" t="s">
        <v>503</v>
      </c>
      <c r="D150" s="250" t="s">
        <v>208</v>
      </c>
      <c r="E150" s="250">
        <v>103</v>
      </c>
      <c r="F150" s="250">
        <v>3.9</v>
      </c>
      <c r="G150" s="250">
        <v>1349</v>
      </c>
      <c r="H150" s="267">
        <v>19698</v>
      </c>
      <c r="I150" s="267">
        <v>6240</v>
      </c>
      <c r="J150" s="267">
        <f t="shared" si="41"/>
        <v>4136.58</v>
      </c>
      <c r="K150" s="267">
        <f t="shared" si="42"/>
        <v>30074.58</v>
      </c>
      <c r="M150" s="250" t="s">
        <v>26</v>
      </c>
    </row>
    <row r="151" spans="1:13">
      <c r="B151" s="250">
        <v>4</v>
      </c>
      <c r="C151" s="250" t="s">
        <v>504</v>
      </c>
      <c r="D151" s="250" t="s">
        <v>208</v>
      </c>
      <c r="E151" s="250">
        <v>115</v>
      </c>
      <c r="F151" s="317">
        <v>4.4000000000000004</v>
      </c>
      <c r="G151" s="250">
        <v>1180</v>
      </c>
      <c r="H151" s="267">
        <v>10283</v>
      </c>
      <c r="I151" s="267">
        <v>8948</v>
      </c>
      <c r="J151" s="267">
        <f t="shared" si="41"/>
        <v>2159.4299999999998</v>
      </c>
      <c r="K151" s="267">
        <f t="shared" si="42"/>
        <v>21390.43</v>
      </c>
      <c r="M151" s="250" t="s">
        <v>26</v>
      </c>
    </row>
    <row r="152" spans="1:13" ht="16.5" thickBot="1"/>
    <row r="153" spans="1:13" ht="16.5" thickBot="1">
      <c r="C153" s="331" t="s">
        <v>505</v>
      </c>
      <c r="D153" s="332" t="s">
        <v>208</v>
      </c>
      <c r="E153" s="334">
        <f>AVERAGE(E148:E151)</f>
        <v>103.75</v>
      </c>
      <c r="F153" s="333">
        <f>AVERAGE(F148:F151)</f>
        <v>3.9750000000000001</v>
      </c>
      <c r="G153" s="339">
        <f t="shared" ref="G153" si="43">AVERAGE(G148:G151)</f>
        <v>1217.25</v>
      </c>
      <c r="H153" s="335">
        <f>AVERAGE(H148:H151)</f>
        <v>16927</v>
      </c>
      <c r="I153" s="335">
        <f t="shared" ref="I153:K153" si="44">AVERAGE(I148:I151)</f>
        <v>6447</v>
      </c>
      <c r="J153" s="335">
        <f t="shared" si="44"/>
        <v>3554.67</v>
      </c>
      <c r="K153" s="335">
        <f t="shared" si="44"/>
        <v>26928.67</v>
      </c>
      <c r="L153" s="335">
        <f>302/3</f>
        <v>100.66666666666667</v>
      </c>
      <c r="M153" s="336"/>
    </row>
    <row r="155" spans="1:13">
      <c r="A155" s="329" t="s">
        <v>506</v>
      </c>
    </row>
    <row r="156" spans="1:13">
      <c r="A156" s="329"/>
    </row>
    <row r="157" spans="1:13">
      <c r="A157" s="329"/>
      <c r="B157" s="540"/>
      <c r="C157" s="539" t="s">
        <v>419</v>
      </c>
      <c r="D157" s="539" t="s">
        <v>420</v>
      </c>
      <c r="E157" s="539" t="s">
        <v>431</v>
      </c>
      <c r="F157" s="539" t="s">
        <v>432</v>
      </c>
      <c r="G157" s="539" t="s">
        <v>433</v>
      </c>
      <c r="H157" s="538" t="s">
        <v>434</v>
      </c>
      <c r="I157" s="539" t="s">
        <v>435</v>
      </c>
      <c r="J157" s="538" t="s">
        <v>421</v>
      </c>
      <c r="K157" s="538" t="s">
        <v>422</v>
      </c>
      <c r="L157" s="538" t="s">
        <v>436</v>
      </c>
      <c r="M157" s="539" t="s">
        <v>437</v>
      </c>
    </row>
    <row r="158" spans="1:13">
      <c r="A158" s="329"/>
      <c r="B158" s="540"/>
      <c r="C158" s="539"/>
      <c r="D158" s="539"/>
      <c r="E158" s="539"/>
      <c r="F158" s="539"/>
      <c r="G158" s="539"/>
      <c r="H158" s="524"/>
      <c r="I158" s="539"/>
      <c r="J158" s="539"/>
      <c r="K158" s="524"/>
      <c r="L158" s="524"/>
      <c r="M158" s="539"/>
    </row>
    <row r="159" spans="1:13">
      <c r="A159" s="329"/>
      <c r="B159" s="250">
        <v>1</v>
      </c>
      <c r="C159" s="250" t="s">
        <v>507</v>
      </c>
      <c r="D159" s="250" t="s">
        <v>428</v>
      </c>
      <c r="E159" s="250">
        <v>129</v>
      </c>
      <c r="F159" s="317">
        <v>5.6</v>
      </c>
      <c r="G159" s="250">
        <v>1250</v>
      </c>
      <c r="H159" s="267">
        <v>16367</v>
      </c>
      <c r="I159" s="267">
        <v>6386</v>
      </c>
      <c r="J159" s="267">
        <f>21%*H159</f>
        <v>3437.0699999999997</v>
      </c>
      <c r="K159" s="267">
        <f>H159+I159+J159</f>
        <v>26190.07</v>
      </c>
      <c r="M159" s="250" t="s">
        <v>22</v>
      </c>
    </row>
    <row r="160" spans="1:13">
      <c r="A160" s="329"/>
      <c r="B160" s="250">
        <v>2</v>
      </c>
      <c r="C160" s="250" t="s">
        <v>508</v>
      </c>
      <c r="D160" s="250" t="s">
        <v>428</v>
      </c>
      <c r="E160" s="250">
        <v>137</v>
      </c>
      <c r="F160" s="250">
        <v>6</v>
      </c>
      <c r="G160" s="250">
        <v>1390</v>
      </c>
      <c r="H160" s="267">
        <v>18667</v>
      </c>
      <c r="I160" s="267">
        <v>7498</v>
      </c>
      <c r="J160" s="267">
        <f t="shared" ref="J160:J162" si="45">21%*H160</f>
        <v>3920.0699999999997</v>
      </c>
      <c r="K160" s="267">
        <f t="shared" ref="K160:K162" si="46">H160+I160+J160</f>
        <v>30085.07</v>
      </c>
      <c r="M160" s="250" t="s">
        <v>22</v>
      </c>
    </row>
    <row r="161" spans="1:13">
      <c r="A161" s="329"/>
      <c r="B161" s="250">
        <v>3</v>
      </c>
      <c r="C161" s="250" t="s">
        <v>509</v>
      </c>
      <c r="D161" s="250" t="s">
        <v>428</v>
      </c>
      <c r="E161" s="250">
        <v>124</v>
      </c>
      <c r="F161" s="250">
        <v>5.4</v>
      </c>
      <c r="G161" s="250">
        <v>1229</v>
      </c>
      <c r="H161" s="267">
        <v>20313</v>
      </c>
      <c r="I161" s="267">
        <v>5691</v>
      </c>
      <c r="J161" s="267">
        <f t="shared" si="45"/>
        <v>4265.7299999999996</v>
      </c>
      <c r="K161" s="267">
        <f t="shared" si="46"/>
        <v>30269.73</v>
      </c>
      <c r="M161" s="250" t="s">
        <v>19</v>
      </c>
    </row>
    <row r="162" spans="1:13">
      <c r="A162" s="329"/>
      <c r="B162" s="250">
        <v>4</v>
      </c>
      <c r="C162" s="250" t="s">
        <v>510</v>
      </c>
      <c r="D162" s="250" t="s">
        <v>428</v>
      </c>
      <c r="E162" s="250">
        <v>147</v>
      </c>
      <c r="F162" s="250">
        <v>6.3</v>
      </c>
      <c r="G162" s="250">
        <v>1354</v>
      </c>
      <c r="H162" s="267">
        <v>15577</v>
      </c>
      <c r="I162" s="267">
        <v>9158</v>
      </c>
      <c r="J162" s="267">
        <f t="shared" si="45"/>
        <v>3271.17</v>
      </c>
      <c r="K162" s="267">
        <f t="shared" si="46"/>
        <v>28006.17</v>
      </c>
      <c r="M162" s="250" t="s">
        <v>22</v>
      </c>
    </row>
    <row r="163" spans="1:13" ht="16.5" thickBot="1">
      <c r="A163" s="329"/>
      <c r="J163" s="267"/>
      <c r="K163" s="267"/>
    </row>
    <row r="164" spans="1:13" ht="16.5" thickBot="1">
      <c r="A164" s="329"/>
      <c r="C164" s="331" t="s">
        <v>511</v>
      </c>
      <c r="D164" s="332" t="s">
        <v>240</v>
      </c>
      <c r="E164" s="334">
        <f>AVERAGE(E159:E162)</f>
        <v>134.25</v>
      </c>
      <c r="F164" s="333">
        <f>AVERAGE(F159:F162)</f>
        <v>5.8250000000000002</v>
      </c>
      <c r="G164" s="339">
        <f t="shared" ref="G164" si="47">AVERAGE(G159:G162)</f>
        <v>1305.75</v>
      </c>
      <c r="H164" s="335">
        <f>AVERAGE(H159:H162)</f>
        <v>17731</v>
      </c>
      <c r="I164" s="335">
        <f t="shared" ref="I164:K164" si="48">AVERAGE(I159:I162)</f>
        <v>7183.25</v>
      </c>
      <c r="J164" s="335">
        <f t="shared" si="48"/>
        <v>3723.5099999999998</v>
      </c>
      <c r="K164" s="335">
        <f t="shared" si="48"/>
        <v>28637.759999999998</v>
      </c>
      <c r="L164" s="335">
        <f>167/3</f>
        <v>55.666666666666664</v>
      </c>
      <c r="M164" s="336"/>
    </row>
    <row r="165" spans="1:13">
      <c r="A165" s="329"/>
    </row>
    <row r="166" spans="1:13">
      <c r="B166" s="540"/>
      <c r="C166" s="539" t="s">
        <v>419</v>
      </c>
      <c r="D166" s="539" t="s">
        <v>420</v>
      </c>
      <c r="E166" s="539" t="s">
        <v>431</v>
      </c>
      <c r="F166" s="539" t="s">
        <v>432</v>
      </c>
      <c r="G166" s="539" t="s">
        <v>433</v>
      </c>
      <c r="H166" s="538" t="s">
        <v>434</v>
      </c>
      <c r="I166" s="539" t="s">
        <v>435</v>
      </c>
      <c r="J166" s="538" t="s">
        <v>421</v>
      </c>
      <c r="K166" s="538" t="s">
        <v>422</v>
      </c>
      <c r="L166" s="538" t="s">
        <v>436</v>
      </c>
      <c r="M166" s="539" t="s">
        <v>437</v>
      </c>
    </row>
    <row r="167" spans="1:13">
      <c r="B167" s="540"/>
      <c r="C167" s="539"/>
      <c r="D167" s="539"/>
      <c r="E167" s="539"/>
      <c r="F167" s="539"/>
      <c r="G167" s="539"/>
      <c r="H167" s="524"/>
      <c r="I167" s="539"/>
      <c r="J167" s="539"/>
      <c r="K167" s="524"/>
      <c r="L167" s="524"/>
      <c r="M167" s="539"/>
    </row>
    <row r="168" spans="1:13">
      <c r="B168" s="250">
        <v>1</v>
      </c>
      <c r="C168" s="250" t="s">
        <v>512</v>
      </c>
      <c r="D168" s="250" t="s">
        <v>208</v>
      </c>
      <c r="E168" s="250">
        <v>99</v>
      </c>
      <c r="F168" s="250">
        <v>3.8</v>
      </c>
      <c r="G168" s="250">
        <v>1285</v>
      </c>
      <c r="H168" s="267">
        <v>19879</v>
      </c>
      <c r="I168" s="267">
        <v>5337</v>
      </c>
      <c r="J168" s="267">
        <f>21%*H168</f>
        <v>4174.59</v>
      </c>
      <c r="K168" s="267">
        <f>H168+I168+J168</f>
        <v>29390.59</v>
      </c>
      <c r="M168" s="250" t="s">
        <v>22</v>
      </c>
    </row>
    <row r="169" spans="1:13">
      <c r="B169" s="250">
        <v>2</v>
      </c>
      <c r="C169" s="250" t="s">
        <v>513</v>
      </c>
      <c r="D169" s="250" t="s">
        <v>208</v>
      </c>
      <c r="E169" s="250">
        <v>123</v>
      </c>
      <c r="F169" s="250">
        <v>4.7</v>
      </c>
      <c r="G169" s="250">
        <v>1474</v>
      </c>
      <c r="H169" s="267">
        <v>20638</v>
      </c>
      <c r="I169" s="267">
        <v>10753</v>
      </c>
      <c r="J169" s="267">
        <f t="shared" ref="J169:J171" si="49">21%*H169</f>
        <v>4333.9799999999996</v>
      </c>
      <c r="K169" s="267">
        <f t="shared" ref="K169:K171" si="50">H169+I169+J169</f>
        <v>35724.979999999996</v>
      </c>
      <c r="M169" s="250" t="s">
        <v>514</v>
      </c>
    </row>
    <row r="170" spans="1:13">
      <c r="B170" s="250">
        <v>3</v>
      </c>
      <c r="C170" s="250" t="s">
        <v>515</v>
      </c>
      <c r="D170" s="250" t="s">
        <v>208</v>
      </c>
      <c r="E170" s="250">
        <v>100</v>
      </c>
      <c r="F170" s="250">
        <v>3.8</v>
      </c>
      <c r="G170" s="250">
        <v>1279</v>
      </c>
      <c r="H170" s="267">
        <v>25618</v>
      </c>
      <c r="I170" s="267">
        <v>563</v>
      </c>
      <c r="J170" s="267">
        <f t="shared" si="49"/>
        <v>5379.78</v>
      </c>
      <c r="K170" s="267">
        <f t="shared" si="50"/>
        <v>31560.78</v>
      </c>
      <c r="M170" s="250" t="s">
        <v>19</v>
      </c>
    </row>
    <row r="171" spans="1:13">
      <c r="B171" s="250">
        <v>4</v>
      </c>
      <c r="C171" s="250" t="s">
        <v>516</v>
      </c>
      <c r="D171" s="250" t="s">
        <v>208</v>
      </c>
      <c r="E171" s="250">
        <v>111</v>
      </c>
      <c r="F171" s="317">
        <v>4.2</v>
      </c>
      <c r="G171" s="250">
        <v>1400</v>
      </c>
      <c r="H171" s="267">
        <v>18976</v>
      </c>
      <c r="I171" s="267">
        <v>8045</v>
      </c>
      <c r="J171" s="267">
        <f t="shared" si="49"/>
        <v>3984.96</v>
      </c>
      <c r="K171" s="267">
        <f t="shared" si="50"/>
        <v>31005.96</v>
      </c>
      <c r="M171" s="250" t="s">
        <v>22</v>
      </c>
    </row>
    <row r="172" spans="1:13" ht="16.5" thickBot="1"/>
    <row r="173" spans="1:13" ht="16.5" thickBot="1">
      <c r="C173" s="331" t="s">
        <v>517</v>
      </c>
      <c r="D173" s="332" t="s">
        <v>208</v>
      </c>
      <c r="E173" s="334">
        <f>AVERAGE(E168:E171)</f>
        <v>108.25</v>
      </c>
      <c r="F173" s="333">
        <f>AVERAGE(F168:F171)</f>
        <v>4.125</v>
      </c>
      <c r="G173" s="339">
        <f t="shared" ref="G173" si="51">AVERAGE(G168:G171)</f>
        <v>1359.5</v>
      </c>
      <c r="H173" s="335">
        <f>AVERAGE(H168:H171)</f>
        <v>21277.75</v>
      </c>
      <c r="I173" s="335">
        <f t="shared" ref="I173:K173" si="52">AVERAGE(I168:I171)</f>
        <v>6174.5</v>
      </c>
      <c r="J173" s="335">
        <f t="shared" si="52"/>
        <v>4468.3274999999994</v>
      </c>
      <c r="K173" s="335">
        <f t="shared" si="52"/>
        <v>31920.577499999999</v>
      </c>
      <c r="L173" s="335">
        <f>373/3</f>
        <v>124.33333333333333</v>
      </c>
      <c r="M173" s="336"/>
    </row>
    <row r="175" spans="1:13">
      <c r="A175" s="329" t="s">
        <v>518</v>
      </c>
    </row>
    <row r="176" spans="1:13">
      <c r="A176" s="329"/>
    </row>
    <row r="177" spans="1:13">
      <c r="A177" s="329"/>
      <c r="B177" s="540"/>
      <c r="C177" s="539" t="s">
        <v>419</v>
      </c>
      <c r="D177" s="539" t="s">
        <v>420</v>
      </c>
      <c r="E177" s="539" t="s">
        <v>431</v>
      </c>
      <c r="F177" s="539" t="s">
        <v>432</v>
      </c>
      <c r="G177" s="539" t="s">
        <v>433</v>
      </c>
      <c r="H177" s="538" t="s">
        <v>434</v>
      </c>
      <c r="I177" s="539" t="s">
        <v>435</v>
      </c>
      <c r="J177" s="538" t="s">
        <v>421</v>
      </c>
      <c r="K177" s="538" t="s">
        <v>422</v>
      </c>
      <c r="L177" s="538" t="s">
        <v>436</v>
      </c>
      <c r="M177" s="539" t="s">
        <v>437</v>
      </c>
    </row>
    <row r="178" spans="1:13">
      <c r="A178" s="329"/>
      <c r="B178" s="540"/>
      <c r="C178" s="539"/>
      <c r="D178" s="539"/>
      <c r="E178" s="539"/>
      <c r="F178" s="539"/>
      <c r="G178" s="539"/>
      <c r="H178" s="524"/>
      <c r="I178" s="539"/>
      <c r="J178" s="539"/>
      <c r="K178" s="524"/>
      <c r="L178" s="524"/>
      <c r="M178" s="539"/>
    </row>
    <row r="179" spans="1:13">
      <c r="A179" s="329"/>
      <c r="B179" s="250">
        <v>1</v>
      </c>
      <c r="C179" s="250" t="s">
        <v>519</v>
      </c>
      <c r="D179" s="250" t="s">
        <v>428</v>
      </c>
      <c r="E179" s="250">
        <v>197</v>
      </c>
      <c r="F179" s="317">
        <v>8.5</v>
      </c>
      <c r="G179" s="250">
        <v>2105</v>
      </c>
      <c r="H179" s="267">
        <v>55097</v>
      </c>
      <c r="I179" s="267">
        <v>28623</v>
      </c>
      <c r="J179" s="267">
        <f>21%*H179</f>
        <v>11570.369999999999</v>
      </c>
      <c r="K179" s="267">
        <f>H179+I179+J179</f>
        <v>95290.37</v>
      </c>
      <c r="M179" s="250" t="s">
        <v>26</v>
      </c>
    </row>
    <row r="180" spans="1:13">
      <c r="A180" s="329"/>
      <c r="B180" s="250">
        <v>2</v>
      </c>
      <c r="C180" s="250" t="s">
        <v>520</v>
      </c>
      <c r="D180" s="250" t="s">
        <v>428</v>
      </c>
      <c r="E180" s="250">
        <v>176</v>
      </c>
      <c r="F180" s="250">
        <v>7.7</v>
      </c>
      <c r="G180" s="250">
        <v>1898</v>
      </c>
      <c r="H180" s="267">
        <v>49430</v>
      </c>
      <c r="I180" s="267">
        <v>19005</v>
      </c>
      <c r="J180" s="267">
        <f t="shared" ref="J180:J182" si="53">21%*H180</f>
        <v>10380.299999999999</v>
      </c>
      <c r="K180" s="267">
        <f t="shared" ref="K180:K182" si="54">H180+I180+J180</f>
        <v>78815.3</v>
      </c>
      <c r="M180" s="250" t="s">
        <v>22</v>
      </c>
    </row>
    <row r="181" spans="1:13">
      <c r="A181" s="329"/>
      <c r="B181" s="250">
        <v>3</v>
      </c>
      <c r="C181" s="250" t="s">
        <v>521</v>
      </c>
      <c r="D181" s="250" t="s">
        <v>428</v>
      </c>
      <c r="E181" s="250">
        <v>197</v>
      </c>
      <c r="F181" s="250">
        <v>8.5</v>
      </c>
      <c r="G181" s="250">
        <v>2030</v>
      </c>
      <c r="H181" s="267">
        <v>53900</v>
      </c>
      <c r="I181" s="267">
        <v>28623</v>
      </c>
      <c r="J181" s="267">
        <f t="shared" si="53"/>
        <v>11319</v>
      </c>
      <c r="K181" s="267">
        <f t="shared" si="54"/>
        <v>93842</v>
      </c>
      <c r="M181" s="250" t="s">
        <v>30</v>
      </c>
    </row>
    <row r="182" spans="1:13">
      <c r="A182" s="329"/>
      <c r="B182" s="250">
        <v>4</v>
      </c>
      <c r="C182" s="250" t="s">
        <v>522</v>
      </c>
      <c r="D182" s="250" t="s">
        <v>428</v>
      </c>
      <c r="E182" s="250">
        <v>243</v>
      </c>
      <c r="F182" s="250">
        <v>10.5</v>
      </c>
      <c r="G182" s="250">
        <v>2309</v>
      </c>
      <c r="H182" s="267">
        <v>67148</v>
      </c>
      <c r="I182" s="267">
        <v>49691</v>
      </c>
      <c r="J182" s="267">
        <f t="shared" si="53"/>
        <v>14101.08</v>
      </c>
      <c r="K182" s="267">
        <f t="shared" si="54"/>
        <v>130940.08</v>
      </c>
      <c r="M182" s="250" t="s">
        <v>514</v>
      </c>
    </row>
    <row r="183" spans="1:13" ht="16.5" thickBot="1">
      <c r="A183" s="329"/>
      <c r="J183" s="267"/>
      <c r="K183" s="267"/>
    </row>
    <row r="184" spans="1:13" ht="16.5" thickBot="1">
      <c r="A184" s="329"/>
      <c r="C184" s="331" t="s">
        <v>478</v>
      </c>
      <c r="D184" s="332" t="s">
        <v>240</v>
      </c>
      <c r="E184" s="334">
        <f>AVERAGE(E179:E182)</f>
        <v>203.25</v>
      </c>
      <c r="F184" s="333">
        <f>AVERAGE(F179:F182)</f>
        <v>8.8000000000000007</v>
      </c>
      <c r="G184" s="339">
        <f t="shared" ref="G184" si="55">AVERAGE(G179:G182)</f>
        <v>2085.5</v>
      </c>
      <c r="H184" s="335">
        <f>AVERAGE(H179:H182)</f>
        <v>56393.75</v>
      </c>
      <c r="I184" s="335">
        <f>AVERAGE(I179:I182)</f>
        <v>31485.5</v>
      </c>
      <c r="J184" s="335">
        <f t="shared" ref="J184:K184" si="56">AVERAGE(J179:J182)</f>
        <v>11842.6875</v>
      </c>
      <c r="K184" s="335">
        <f t="shared" si="56"/>
        <v>99721.9375</v>
      </c>
      <c r="L184" s="335">
        <f>348/3</f>
        <v>116</v>
      </c>
      <c r="M184" s="336"/>
    </row>
    <row r="185" spans="1:13">
      <c r="A185" s="329"/>
    </row>
    <row r="186" spans="1:13">
      <c r="B186" s="540"/>
      <c r="C186" s="539" t="s">
        <v>419</v>
      </c>
      <c r="D186" s="539" t="s">
        <v>420</v>
      </c>
      <c r="E186" s="539" t="s">
        <v>431</v>
      </c>
      <c r="F186" s="539" t="s">
        <v>432</v>
      </c>
      <c r="G186" s="539" t="s">
        <v>433</v>
      </c>
      <c r="H186" s="538" t="s">
        <v>434</v>
      </c>
      <c r="I186" s="539" t="s">
        <v>435</v>
      </c>
      <c r="J186" s="538" t="s">
        <v>421</v>
      </c>
      <c r="K186" s="538" t="s">
        <v>422</v>
      </c>
      <c r="L186" s="538" t="s">
        <v>436</v>
      </c>
      <c r="M186" s="539" t="s">
        <v>437</v>
      </c>
    </row>
    <row r="187" spans="1:13">
      <c r="B187" s="540"/>
      <c r="C187" s="539"/>
      <c r="D187" s="539"/>
      <c r="E187" s="539"/>
      <c r="F187" s="539"/>
      <c r="G187" s="539"/>
      <c r="H187" s="524"/>
      <c r="I187" s="539"/>
      <c r="J187" s="539"/>
      <c r="K187" s="524"/>
      <c r="L187" s="524"/>
      <c r="M187" s="539"/>
    </row>
    <row r="188" spans="1:13">
      <c r="B188" s="250">
        <v>1</v>
      </c>
      <c r="C188" s="250" t="s">
        <v>523</v>
      </c>
      <c r="D188" s="250" t="s">
        <v>208</v>
      </c>
      <c r="E188" s="250">
        <v>158</v>
      </c>
      <c r="F188" s="250">
        <v>6</v>
      </c>
      <c r="G188" s="250">
        <v>2145</v>
      </c>
      <c r="H188" s="267">
        <v>57658</v>
      </c>
      <c r="I188" s="267">
        <v>19913</v>
      </c>
      <c r="J188" s="311">
        <f>21%*H188</f>
        <v>12108.18</v>
      </c>
      <c r="K188" s="267">
        <f>H188+I188+J188</f>
        <v>89679.18</v>
      </c>
      <c r="M188" s="250" t="s">
        <v>26</v>
      </c>
    </row>
    <row r="189" spans="1:13">
      <c r="B189" s="250">
        <v>2</v>
      </c>
      <c r="C189" s="250" t="s">
        <v>524</v>
      </c>
      <c r="D189" s="250" t="s">
        <v>208</v>
      </c>
      <c r="E189" s="250">
        <v>136</v>
      </c>
      <c r="F189" s="250">
        <v>5.2</v>
      </c>
      <c r="G189" s="250">
        <v>1849</v>
      </c>
      <c r="H189" s="267">
        <v>48453</v>
      </c>
      <c r="I189" s="267">
        <v>13687</v>
      </c>
      <c r="J189" s="311">
        <f t="shared" ref="J189:J191" si="57">21%*H189</f>
        <v>10175.129999999999</v>
      </c>
      <c r="K189" s="267">
        <f t="shared" ref="K189:K191" si="58">H189+I189+J189</f>
        <v>72315.13</v>
      </c>
      <c r="M189" s="250" t="s">
        <v>22</v>
      </c>
    </row>
    <row r="190" spans="1:13">
      <c r="B190" s="250">
        <v>3</v>
      </c>
      <c r="C190" s="250" t="s">
        <v>525</v>
      </c>
      <c r="D190" s="250" t="s">
        <v>208</v>
      </c>
      <c r="E190" s="250">
        <v>140</v>
      </c>
      <c r="F190" s="250">
        <v>5.4</v>
      </c>
      <c r="G190" s="250">
        <v>1975</v>
      </c>
      <c r="H190" s="267">
        <v>48344</v>
      </c>
      <c r="I190" s="267">
        <v>14590</v>
      </c>
      <c r="J190" s="311">
        <f t="shared" si="57"/>
        <v>10152.24</v>
      </c>
      <c r="K190" s="267">
        <f t="shared" si="58"/>
        <v>73086.240000000005</v>
      </c>
      <c r="M190" s="250" t="s">
        <v>22</v>
      </c>
    </row>
    <row r="191" spans="1:13">
      <c r="B191" s="250">
        <v>4</v>
      </c>
      <c r="C191" s="250" t="s">
        <v>526</v>
      </c>
      <c r="D191" s="250" t="s">
        <v>208</v>
      </c>
      <c r="E191" s="250">
        <v>172</v>
      </c>
      <c r="F191" s="317">
        <v>6.5</v>
      </c>
      <c r="G191" s="250">
        <v>2136</v>
      </c>
      <c r="H191" s="267">
        <v>54713</v>
      </c>
      <c r="I191" s="267">
        <v>26622</v>
      </c>
      <c r="J191" s="311">
        <f t="shared" si="57"/>
        <v>11489.73</v>
      </c>
      <c r="K191" s="267">
        <f t="shared" si="58"/>
        <v>92824.73</v>
      </c>
      <c r="M191" s="250" t="s">
        <v>30</v>
      </c>
    </row>
    <row r="192" spans="1:13" ht="16.5" thickBot="1"/>
    <row r="193" spans="1:13" ht="16.5" thickBot="1">
      <c r="C193" s="331" t="s">
        <v>483</v>
      </c>
      <c r="D193" s="332" t="s">
        <v>208</v>
      </c>
      <c r="E193" s="334">
        <f>AVERAGE(E188:E191)</f>
        <v>151.5</v>
      </c>
      <c r="F193" s="333">
        <f>AVERAGE(F188:F191)</f>
        <v>5.7750000000000004</v>
      </c>
      <c r="G193" s="339">
        <f t="shared" ref="G193" si="59">AVERAGE(G188:G191)</f>
        <v>2026.25</v>
      </c>
      <c r="H193" s="335">
        <f>AVERAGE(H188:H191)</f>
        <v>52292</v>
      </c>
      <c r="I193" s="335">
        <f t="shared" ref="I193:K193" si="60">AVERAGE(I188:I191)</f>
        <v>18703</v>
      </c>
      <c r="J193" s="335">
        <f t="shared" si="60"/>
        <v>10981.32</v>
      </c>
      <c r="K193" s="335">
        <f t="shared" si="60"/>
        <v>81976.319999999992</v>
      </c>
      <c r="L193" s="335">
        <f>586/3</f>
        <v>195.33333333333334</v>
      </c>
      <c r="M193" s="336"/>
    </row>
    <row r="196" spans="1:13">
      <c r="A196" s="288" t="s">
        <v>66</v>
      </c>
    </row>
    <row r="197" spans="1:13">
      <c r="A197" s="344" t="s">
        <v>527</v>
      </c>
      <c r="B197" s="250" t="s">
        <v>528</v>
      </c>
    </row>
    <row r="198" spans="1:13">
      <c r="A198" s="344" t="s">
        <v>529</v>
      </c>
      <c r="B198" s="250" t="s">
        <v>55</v>
      </c>
    </row>
    <row r="199" spans="1:13">
      <c r="A199" s="344" t="s">
        <v>530</v>
      </c>
      <c r="B199" s="250" t="s">
        <v>531</v>
      </c>
      <c r="C199" s="250" t="s">
        <v>532</v>
      </c>
    </row>
    <row r="200" spans="1:13">
      <c r="A200" s="344" t="s">
        <v>533</v>
      </c>
      <c r="B200" s="250" t="s">
        <v>534</v>
      </c>
      <c r="C200" s="295" t="s">
        <v>535</v>
      </c>
    </row>
    <row r="201" spans="1:13">
      <c r="A201" s="344" t="s">
        <v>536</v>
      </c>
      <c r="B201" s="250" t="s">
        <v>537</v>
      </c>
    </row>
    <row r="202" spans="1:13">
      <c r="A202" s="344" t="s">
        <v>538</v>
      </c>
      <c r="B202" s="250" t="s">
        <v>539</v>
      </c>
      <c r="C202" s="295" t="s">
        <v>134</v>
      </c>
    </row>
    <row r="203" spans="1:13">
      <c r="A203" s="344" t="s">
        <v>540</v>
      </c>
      <c r="B203" s="250" t="s">
        <v>541</v>
      </c>
      <c r="C203" s="295" t="s">
        <v>542</v>
      </c>
    </row>
    <row r="207" spans="1:13">
      <c r="B207" s="288" t="s">
        <v>543</v>
      </c>
    </row>
    <row r="208" spans="1:13">
      <c r="B208" s="250" t="s">
        <v>544</v>
      </c>
    </row>
  </sheetData>
  <sheetProtection algorithmName="SHA-512" hashValue="Z1vbYuBB372tkZ98Y5FeTr56JTFPDxqcotv+60ncjLI1zXrzFE3GrwV5f4GtWCCw2mwjQ4fYCIkCoaEF7xg7Gg==" saltValue="ONty2NLqsTtfJ7poZ8FE3A==" spinCount="100000" sheet="1" objects="1" scenarios="1"/>
  <mergeCells count="216">
    <mergeCell ref="G97:G98"/>
    <mergeCell ref="H97:H98"/>
    <mergeCell ref="M97:M98"/>
    <mergeCell ref="B106:B107"/>
    <mergeCell ref="C106:C107"/>
    <mergeCell ref="D106:D107"/>
    <mergeCell ref="E106:E107"/>
    <mergeCell ref="F106:F107"/>
    <mergeCell ref="G106:G107"/>
    <mergeCell ref="H106:H107"/>
    <mergeCell ref="M106:M107"/>
    <mergeCell ref="B97:B98"/>
    <mergeCell ref="C97:C98"/>
    <mergeCell ref="D97:D98"/>
    <mergeCell ref="E97:E98"/>
    <mergeCell ref="F97:F98"/>
    <mergeCell ref="I97:I98"/>
    <mergeCell ref="J97:J98"/>
    <mergeCell ref="K97:K98"/>
    <mergeCell ref="L106:L107"/>
    <mergeCell ref="L97:L98"/>
    <mergeCell ref="G77:G78"/>
    <mergeCell ref="H77:H78"/>
    <mergeCell ref="M77:M78"/>
    <mergeCell ref="B86:B87"/>
    <mergeCell ref="C86:C87"/>
    <mergeCell ref="D86:D87"/>
    <mergeCell ref="E86:E87"/>
    <mergeCell ref="F86:F87"/>
    <mergeCell ref="G86:G87"/>
    <mergeCell ref="H86:H87"/>
    <mergeCell ref="M86:M87"/>
    <mergeCell ref="B77:B78"/>
    <mergeCell ref="C77:C78"/>
    <mergeCell ref="D77:D78"/>
    <mergeCell ref="E77:E78"/>
    <mergeCell ref="F77:F78"/>
    <mergeCell ref="K77:K78"/>
    <mergeCell ref="L77:L78"/>
    <mergeCell ref="L86:L87"/>
    <mergeCell ref="G57:G58"/>
    <mergeCell ref="H57:H58"/>
    <mergeCell ref="M57:M58"/>
    <mergeCell ref="B66:B67"/>
    <mergeCell ref="C66:C67"/>
    <mergeCell ref="D66:D67"/>
    <mergeCell ref="E66:E67"/>
    <mergeCell ref="F66:F67"/>
    <mergeCell ref="G66:G67"/>
    <mergeCell ref="H66:H67"/>
    <mergeCell ref="M66:M67"/>
    <mergeCell ref="B57:B58"/>
    <mergeCell ref="C57:C58"/>
    <mergeCell ref="D57:D58"/>
    <mergeCell ref="E57:E58"/>
    <mergeCell ref="F57:F58"/>
    <mergeCell ref="I66:I67"/>
    <mergeCell ref="J66:J67"/>
    <mergeCell ref="K66:K67"/>
    <mergeCell ref="L57:L58"/>
    <mergeCell ref="B46:B47"/>
    <mergeCell ref="C46:C47"/>
    <mergeCell ref="D46:D47"/>
    <mergeCell ref="E46:E47"/>
    <mergeCell ref="F46:F47"/>
    <mergeCell ref="G46:G47"/>
    <mergeCell ref="H46:H47"/>
    <mergeCell ref="M46:M47"/>
    <mergeCell ref="B37:B38"/>
    <mergeCell ref="C37:C38"/>
    <mergeCell ref="D37:D38"/>
    <mergeCell ref="E37:E38"/>
    <mergeCell ref="F37:F38"/>
    <mergeCell ref="L37:L38"/>
    <mergeCell ref="L46:L47"/>
    <mergeCell ref="A18:A19"/>
    <mergeCell ref="B18:B19"/>
    <mergeCell ref="C18:C19"/>
    <mergeCell ref="D18:D19"/>
    <mergeCell ref="E18:E19"/>
    <mergeCell ref="G37:G38"/>
    <mergeCell ref="H37:H38"/>
    <mergeCell ref="M37:M38"/>
    <mergeCell ref="M27:M28"/>
    <mergeCell ref="G18:G19"/>
    <mergeCell ref="M18:M19"/>
    <mergeCell ref="H18:H19"/>
    <mergeCell ref="B27:B28"/>
    <mergeCell ref="C27:C28"/>
    <mergeCell ref="D27:D28"/>
    <mergeCell ref="E27:E28"/>
    <mergeCell ref="F27:F28"/>
    <mergeCell ref="G27:G28"/>
    <mergeCell ref="F18:F19"/>
    <mergeCell ref="I18:I19"/>
    <mergeCell ref="L18:L19"/>
    <mergeCell ref="L27:L28"/>
    <mergeCell ref="I27:I28"/>
    <mergeCell ref="J18:J19"/>
    <mergeCell ref="K18:K19"/>
    <mergeCell ref="I37:I38"/>
    <mergeCell ref="J37:J38"/>
    <mergeCell ref="K37:K38"/>
    <mergeCell ref="I46:I47"/>
    <mergeCell ref="J46:J47"/>
    <mergeCell ref="K46:K47"/>
    <mergeCell ref="I57:I58"/>
    <mergeCell ref="J57:J58"/>
    <mergeCell ref="K57:K58"/>
    <mergeCell ref="H27:H28"/>
    <mergeCell ref="I106:I107"/>
    <mergeCell ref="J106:J107"/>
    <mergeCell ref="K106:K107"/>
    <mergeCell ref="I86:I87"/>
    <mergeCell ref="J86:J87"/>
    <mergeCell ref="K86:K87"/>
    <mergeCell ref="I77:I78"/>
    <mergeCell ref="J77:J78"/>
    <mergeCell ref="J27:J28"/>
    <mergeCell ref="K27:K28"/>
    <mergeCell ref="K117:K118"/>
    <mergeCell ref="L117:L118"/>
    <mergeCell ref="M117:M118"/>
    <mergeCell ref="B126:B127"/>
    <mergeCell ref="C126:C127"/>
    <mergeCell ref="D126:D127"/>
    <mergeCell ref="E126:E127"/>
    <mergeCell ref="F126:F127"/>
    <mergeCell ref="G126:G127"/>
    <mergeCell ref="H126:H127"/>
    <mergeCell ref="I126:I127"/>
    <mergeCell ref="J126:J127"/>
    <mergeCell ref="K126:K127"/>
    <mergeCell ref="L126:L127"/>
    <mergeCell ref="M126:M127"/>
    <mergeCell ref="B117:B118"/>
    <mergeCell ref="C117:C118"/>
    <mergeCell ref="D117:D118"/>
    <mergeCell ref="E117:E118"/>
    <mergeCell ref="F117:F118"/>
    <mergeCell ref="G117:G118"/>
    <mergeCell ref="H117:H118"/>
    <mergeCell ref="I117:I118"/>
    <mergeCell ref="J117:J118"/>
    <mergeCell ref="K137:K138"/>
    <mergeCell ref="L137:L138"/>
    <mergeCell ref="M137:M138"/>
    <mergeCell ref="B146:B147"/>
    <mergeCell ref="C146:C147"/>
    <mergeCell ref="D146:D147"/>
    <mergeCell ref="E146:E147"/>
    <mergeCell ref="F146:F147"/>
    <mergeCell ref="G146:G147"/>
    <mergeCell ref="H146:H147"/>
    <mergeCell ref="I146:I147"/>
    <mergeCell ref="J146:J147"/>
    <mergeCell ref="K146:K147"/>
    <mergeCell ref="L146:L147"/>
    <mergeCell ref="M146:M147"/>
    <mergeCell ref="B137:B138"/>
    <mergeCell ref="C137:C138"/>
    <mergeCell ref="D137:D138"/>
    <mergeCell ref="E137:E138"/>
    <mergeCell ref="F137:F138"/>
    <mergeCell ref="G137:G138"/>
    <mergeCell ref="H137:H138"/>
    <mergeCell ref="I137:I138"/>
    <mergeCell ref="J137:J138"/>
    <mergeCell ref="K157:K158"/>
    <mergeCell ref="L157:L158"/>
    <mergeCell ref="M157:M158"/>
    <mergeCell ref="B166:B167"/>
    <mergeCell ref="C166:C167"/>
    <mergeCell ref="D166:D167"/>
    <mergeCell ref="E166:E167"/>
    <mergeCell ref="F166:F167"/>
    <mergeCell ref="G166:G167"/>
    <mergeCell ref="H166:H167"/>
    <mergeCell ref="I166:I167"/>
    <mergeCell ref="J166:J167"/>
    <mergeCell ref="K166:K167"/>
    <mergeCell ref="L166:L167"/>
    <mergeCell ref="M166:M167"/>
    <mergeCell ref="B157:B158"/>
    <mergeCell ref="C157:C158"/>
    <mergeCell ref="D157:D158"/>
    <mergeCell ref="E157:E158"/>
    <mergeCell ref="F157:F158"/>
    <mergeCell ref="G157:G158"/>
    <mergeCell ref="H157:H158"/>
    <mergeCell ref="I157:I158"/>
    <mergeCell ref="J157:J158"/>
    <mergeCell ref="K177:K178"/>
    <mergeCell ref="L177:L178"/>
    <mergeCell ref="M177:M178"/>
    <mergeCell ref="B186:B187"/>
    <mergeCell ref="C186:C187"/>
    <mergeCell ref="D186:D187"/>
    <mergeCell ref="E186:E187"/>
    <mergeCell ref="F186:F187"/>
    <mergeCell ref="G186:G187"/>
    <mergeCell ref="H186:H187"/>
    <mergeCell ref="I186:I187"/>
    <mergeCell ref="J186:J187"/>
    <mergeCell ref="K186:K187"/>
    <mergeCell ref="L186:L187"/>
    <mergeCell ref="M186:M187"/>
    <mergeCell ref="B177:B178"/>
    <mergeCell ref="C177:C178"/>
    <mergeCell ref="D177:D178"/>
    <mergeCell ref="E177:E178"/>
    <mergeCell ref="F177:F178"/>
    <mergeCell ref="G177:G178"/>
    <mergeCell ref="H177:H178"/>
    <mergeCell ref="I177:I178"/>
    <mergeCell ref="J177:J178"/>
  </mergeCells>
  <hyperlinks>
    <hyperlink ref="C203" r:id="rId1" xr:uid="{00000000-0004-0000-0900-000000000000}"/>
    <hyperlink ref="C200" r:id="rId2" xr:uid="{00000000-0004-0000-0900-000001000000}"/>
  </hyperlinks>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8"/>
  </sheetPr>
  <dimension ref="A1:O93"/>
  <sheetViews>
    <sheetView workbookViewId="0">
      <selection sqref="A1:XFD1048576"/>
    </sheetView>
  </sheetViews>
  <sheetFormatPr defaultColWidth="11" defaultRowHeight="15.75"/>
  <cols>
    <col min="1" max="1" width="11.75" style="250" customWidth="1"/>
    <col min="2" max="2" width="10.75" style="250" customWidth="1"/>
    <col min="3" max="3" width="88.75" style="250" customWidth="1"/>
    <col min="4" max="4" width="17.75" style="250" customWidth="1"/>
    <col min="5" max="5" width="14.25" style="250" bestFit="1" customWidth="1"/>
    <col min="6" max="6" width="17.75" style="250" bestFit="1" customWidth="1"/>
    <col min="7" max="7" width="24.25" style="250" bestFit="1" customWidth="1"/>
    <col min="8" max="8" width="26.25" style="250" bestFit="1" customWidth="1"/>
    <col min="9" max="9" width="22.25" style="250" bestFit="1" customWidth="1"/>
    <col min="10" max="10" width="20" style="250" customWidth="1"/>
    <col min="11" max="11" width="32.25" style="250" bestFit="1" customWidth="1"/>
    <col min="12" max="12" width="20" style="250" bestFit="1" customWidth="1"/>
    <col min="13" max="16384" width="11" style="250"/>
  </cols>
  <sheetData>
    <row r="1" spans="1:15">
      <c r="A1" s="288"/>
    </row>
    <row r="2" spans="1:15">
      <c r="A2" s="329" t="s">
        <v>545</v>
      </c>
    </row>
    <row r="3" spans="1:15" ht="16.149999999999999" customHeight="1"/>
    <row r="4" spans="1:15" ht="16.149999999999999" customHeight="1">
      <c r="A4" s="540"/>
      <c r="B4" s="540"/>
      <c r="C4" s="539" t="s">
        <v>419</v>
      </c>
      <c r="D4" s="539" t="s">
        <v>420</v>
      </c>
      <c r="E4" s="539" t="s">
        <v>431</v>
      </c>
      <c r="F4" s="539" t="s">
        <v>432</v>
      </c>
      <c r="G4" s="539" t="s">
        <v>546</v>
      </c>
      <c r="H4" s="539" t="s">
        <v>547</v>
      </c>
      <c r="I4" s="539" t="s">
        <v>433</v>
      </c>
      <c r="J4" s="329" t="s">
        <v>548</v>
      </c>
      <c r="K4" s="539" t="s">
        <v>549</v>
      </c>
      <c r="L4" s="539" t="s">
        <v>423</v>
      </c>
    </row>
    <row r="5" spans="1:15" ht="16.149999999999999" customHeight="1">
      <c r="A5" s="540"/>
      <c r="B5" s="540"/>
      <c r="C5" s="539"/>
      <c r="D5" s="539"/>
      <c r="E5" s="539"/>
      <c r="F5" s="539"/>
      <c r="G5" s="539"/>
      <c r="H5" s="539"/>
      <c r="I5" s="539"/>
      <c r="J5" s="329" t="s">
        <v>550</v>
      </c>
      <c r="K5" s="539"/>
      <c r="L5" s="539"/>
    </row>
    <row r="6" spans="1:15" ht="16.149999999999999" customHeight="1">
      <c r="A6" s="540"/>
      <c r="B6" s="555" t="s">
        <v>551</v>
      </c>
      <c r="C6" s="550" t="s">
        <v>552</v>
      </c>
      <c r="D6" s="550" t="s">
        <v>208</v>
      </c>
      <c r="E6" s="550">
        <v>105</v>
      </c>
      <c r="F6" s="550">
        <v>3.8</v>
      </c>
      <c r="G6" s="550">
        <v>2.2999999999999998</v>
      </c>
      <c r="H6" s="549">
        <v>1620</v>
      </c>
      <c r="I6" s="549">
        <v>1215</v>
      </c>
      <c r="J6" s="550">
        <v>580</v>
      </c>
      <c r="K6" s="549">
        <v>12090</v>
      </c>
    </row>
    <row r="7" spans="1:15" ht="16.899999999999999" customHeight="1">
      <c r="A7" s="540"/>
      <c r="B7" s="555"/>
      <c r="C7" s="550"/>
      <c r="D7" s="550"/>
      <c r="E7" s="550"/>
      <c r="F7" s="550"/>
      <c r="G7" s="550"/>
      <c r="H7" s="550"/>
      <c r="I7" s="550"/>
      <c r="J7" s="550"/>
      <c r="K7" s="550"/>
    </row>
    <row r="8" spans="1:15" ht="16.149999999999999" customHeight="1">
      <c r="A8" s="540"/>
      <c r="B8" s="555" t="s">
        <v>553</v>
      </c>
      <c r="C8" s="550" t="s">
        <v>554</v>
      </c>
      <c r="D8" s="550" t="s">
        <v>208</v>
      </c>
      <c r="E8" s="550">
        <v>109</v>
      </c>
      <c r="F8" s="550">
        <v>4.0999999999999996</v>
      </c>
      <c r="G8" s="550">
        <v>2.5</v>
      </c>
      <c r="H8" s="549">
        <v>1523</v>
      </c>
      <c r="I8" s="549">
        <v>1065</v>
      </c>
      <c r="J8" s="550">
        <v>685</v>
      </c>
      <c r="K8" s="549">
        <v>12970</v>
      </c>
    </row>
    <row r="9" spans="1:15" ht="16.899999999999999" customHeight="1">
      <c r="A9" s="540"/>
      <c r="B9" s="555"/>
      <c r="C9" s="550"/>
      <c r="D9" s="550"/>
      <c r="E9" s="550"/>
      <c r="F9" s="550"/>
      <c r="G9" s="550"/>
      <c r="H9" s="550"/>
      <c r="I9" s="550"/>
      <c r="J9" s="550"/>
      <c r="K9" s="550"/>
    </row>
    <row r="10" spans="1:15" ht="16.899999999999999" customHeight="1">
      <c r="A10" s="540"/>
      <c r="B10" s="555" t="s">
        <v>553</v>
      </c>
      <c r="C10" s="550" t="s">
        <v>555</v>
      </c>
      <c r="D10" s="550" t="s">
        <v>208</v>
      </c>
      <c r="E10" s="550">
        <v>109</v>
      </c>
      <c r="F10" s="550">
        <v>4.0999999999999996</v>
      </c>
      <c r="G10" s="550">
        <v>2.5</v>
      </c>
      <c r="H10" s="549">
        <v>1523</v>
      </c>
      <c r="I10" s="549">
        <v>1085</v>
      </c>
      <c r="J10" s="550">
        <v>615</v>
      </c>
      <c r="K10" s="549">
        <v>13015</v>
      </c>
    </row>
    <row r="11" spans="1:15" ht="16.899999999999999" customHeight="1">
      <c r="A11" s="540"/>
      <c r="B11" s="555"/>
      <c r="C11" s="550"/>
      <c r="D11" s="550"/>
      <c r="E11" s="550"/>
      <c r="F11" s="550"/>
      <c r="G11" s="550"/>
      <c r="H11" s="550"/>
      <c r="I11" s="550"/>
      <c r="J11" s="550"/>
      <c r="K11" s="550"/>
    </row>
    <row r="12" spans="1:15" ht="16.899999999999999" customHeight="1">
      <c r="A12" s="540"/>
      <c r="B12" s="555" t="s">
        <v>553</v>
      </c>
      <c r="C12" s="550" t="s">
        <v>556</v>
      </c>
      <c r="D12" s="550" t="s">
        <v>208</v>
      </c>
      <c r="E12" s="550">
        <v>109</v>
      </c>
      <c r="F12" s="550">
        <v>4.0999999999999996</v>
      </c>
      <c r="G12" s="550">
        <v>2.5</v>
      </c>
      <c r="H12" s="549">
        <v>1523</v>
      </c>
      <c r="I12" s="549">
        <v>1065</v>
      </c>
      <c r="J12" s="550">
        <v>685</v>
      </c>
      <c r="K12" s="549">
        <v>13820</v>
      </c>
    </row>
    <row r="13" spans="1:15" ht="16.899999999999999" customHeight="1">
      <c r="A13" s="540"/>
      <c r="B13" s="555"/>
      <c r="C13" s="550"/>
      <c r="D13" s="550"/>
      <c r="E13" s="550"/>
      <c r="F13" s="550"/>
      <c r="G13" s="550"/>
      <c r="H13" s="550"/>
      <c r="I13" s="550"/>
      <c r="J13" s="550"/>
      <c r="K13" s="550"/>
      <c r="O13" s="261"/>
    </row>
    <row r="14" spans="1:15" ht="16.899999999999999" customHeight="1">
      <c r="A14" s="540"/>
      <c r="B14" s="555" t="s">
        <v>557</v>
      </c>
      <c r="C14" s="550" t="s">
        <v>558</v>
      </c>
      <c r="D14" s="550" t="s">
        <v>208</v>
      </c>
      <c r="E14" s="550">
        <v>110</v>
      </c>
      <c r="F14" s="550">
        <v>4.2</v>
      </c>
      <c r="G14" s="550">
        <v>3.1</v>
      </c>
      <c r="H14" s="549">
        <v>1750</v>
      </c>
      <c r="I14" s="549">
        <v>1330</v>
      </c>
      <c r="J14" s="550">
        <v>620</v>
      </c>
      <c r="K14" s="549">
        <v>13765</v>
      </c>
      <c r="O14" s="261"/>
    </row>
    <row r="15" spans="1:15" ht="16.899999999999999" customHeight="1">
      <c r="A15" s="540"/>
      <c r="B15" s="555"/>
      <c r="C15" s="550"/>
      <c r="D15" s="550"/>
      <c r="E15" s="550"/>
      <c r="F15" s="550"/>
      <c r="G15" s="550"/>
      <c r="H15" s="550"/>
      <c r="I15" s="550"/>
      <c r="J15" s="550"/>
      <c r="K15" s="550"/>
    </row>
    <row r="16" spans="1:15" ht="16.149999999999999" customHeight="1">
      <c r="A16" s="540"/>
      <c r="B16" s="555" t="s">
        <v>557</v>
      </c>
      <c r="C16" s="550" t="s">
        <v>559</v>
      </c>
      <c r="D16" s="550" t="s">
        <v>208</v>
      </c>
      <c r="E16" s="550">
        <v>110</v>
      </c>
      <c r="F16" s="550">
        <v>4.2</v>
      </c>
      <c r="G16" s="550">
        <v>3</v>
      </c>
      <c r="H16" s="549">
        <v>2502</v>
      </c>
      <c r="I16" s="549">
        <v>1255</v>
      </c>
      <c r="J16" s="550">
        <v>695</v>
      </c>
      <c r="K16" s="549">
        <v>13540</v>
      </c>
    </row>
    <row r="17" spans="1:12" ht="16.899999999999999" customHeight="1">
      <c r="A17" s="540"/>
      <c r="B17" s="555"/>
      <c r="C17" s="550"/>
      <c r="D17" s="550"/>
      <c r="E17" s="550"/>
      <c r="F17" s="550"/>
      <c r="G17" s="550"/>
      <c r="H17" s="550"/>
      <c r="I17" s="550"/>
      <c r="J17" s="550"/>
      <c r="K17" s="550"/>
    </row>
    <row r="18" spans="1:12" ht="16.149999999999999" customHeight="1">
      <c r="A18" s="540"/>
      <c r="B18" s="555" t="s">
        <v>560</v>
      </c>
      <c r="C18" s="550" t="s">
        <v>561</v>
      </c>
      <c r="D18" s="550" t="s">
        <v>208</v>
      </c>
      <c r="E18" s="550">
        <v>115</v>
      </c>
      <c r="F18" s="550">
        <v>4.4000000000000004</v>
      </c>
      <c r="G18" s="550">
        <v>3</v>
      </c>
      <c r="H18" s="549">
        <v>1820</v>
      </c>
      <c r="I18" s="549">
        <v>1245</v>
      </c>
      <c r="J18" s="550">
        <v>775</v>
      </c>
      <c r="K18" s="549">
        <v>14475</v>
      </c>
    </row>
    <row r="19" spans="1:12" ht="16.149999999999999" customHeight="1">
      <c r="A19" s="540"/>
      <c r="B19" s="555"/>
      <c r="C19" s="550"/>
      <c r="D19" s="550"/>
      <c r="E19" s="550"/>
      <c r="F19" s="550"/>
      <c r="G19" s="550"/>
      <c r="H19" s="550"/>
      <c r="I19" s="550"/>
      <c r="J19" s="550"/>
      <c r="K19" s="550"/>
    </row>
    <row r="20" spans="1:12" ht="16.149999999999999" customHeight="1">
      <c r="A20" s="540"/>
      <c r="B20" s="555" t="s">
        <v>562</v>
      </c>
      <c r="C20" s="550" t="s">
        <v>563</v>
      </c>
      <c r="D20" s="550" t="s">
        <v>208</v>
      </c>
      <c r="E20" s="550">
        <v>117</v>
      </c>
      <c r="F20" s="550">
        <v>4.5</v>
      </c>
      <c r="G20" s="550">
        <v>3.2</v>
      </c>
      <c r="H20" s="549">
        <v>1781</v>
      </c>
      <c r="I20" s="549">
        <v>1327</v>
      </c>
      <c r="J20" s="550">
        <v>722</v>
      </c>
      <c r="K20" s="549">
        <v>16500</v>
      </c>
    </row>
    <row r="21" spans="1:12" ht="16.149999999999999" customHeight="1">
      <c r="A21" s="540"/>
      <c r="B21" s="555"/>
      <c r="C21" s="550"/>
      <c r="D21" s="550"/>
      <c r="E21" s="550"/>
      <c r="F21" s="550"/>
      <c r="G21" s="550"/>
      <c r="H21" s="550"/>
      <c r="I21" s="550"/>
      <c r="J21" s="550"/>
      <c r="K21" s="550"/>
    </row>
    <row r="22" spans="1:12" ht="16.149999999999999" customHeight="1">
      <c r="A22" s="540"/>
      <c r="B22" s="555" t="s">
        <v>564</v>
      </c>
      <c r="C22" s="550" t="s">
        <v>565</v>
      </c>
      <c r="D22" s="550" t="s">
        <v>208</v>
      </c>
      <c r="E22" s="550">
        <v>118</v>
      </c>
      <c r="F22" s="550">
        <v>4.5</v>
      </c>
      <c r="G22" s="550">
        <v>3.3</v>
      </c>
      <c r="H22" s="549">
        <v>1760</v>
      </c>
      <c r="I22" s="549">
        <v>1295</v>
      </c>
      <c r="J22" s="550">
        <v>695</v>
      </c>
      <c r="K22" s="549">
        <v>14620</v>
      </c>
    </row>
    <row r="23" spans="1:12" ht="16.149999999999999" customHeight="1">
      <c r="A23" s="540"/>
      <c r="B23" s="555"/>
      <c r="C23" s="550"/>
      <c r="D23" s="550"/>
      <c r="E23" s="550"/>
      <c r="F23" s="550"/>
      <c r="G23" s="550"/>
      <c r="H23" s="550"/>
      <c r="I23" s="550"/>
      <c r="J23" s="550"/>
      <c r="K23" s="550"/>
    </row>
    <row r="24" spans="1:12" ht="16.149999999999999" customHeight="1">
      <c r="A24" s="540"/>
      <c r="B24" s="555" t="s">
        <v>564</v>
      </c>
      <c r="C24" s="550" t="s">
        <v>566</v>
      </c>
      <c r="D24" s="550" t="s">
        <v>208</v>
      </c>
      <c r="E24" s="550">
        <v>118</v>
      </c>
      <c r="F24" s="550">
        <v>4.5</v>
      </c>
      <c r="G24" s="550">
        <v>3.3</v>
      </c>
      <c r="H24" s="549">
        <v>1800</v>
      </c>
      <c r="I24" s="549">
        <v>1295</v>
      </c>
      <c r="J24" s="550">
        <v>695</v>
      </c>
      <c r="K24" s="549">
        <v>14620</v>
      </c>
    </row>
    <row r="25" spans="1:12" ht="16.149999999999999" customHeight="1">
      <c r="A25" s="540"/>
      <c r="B25" s="555"/>
      <c r="C25" s="550"/>
      <c r="D25" s="550"/>
      <c r="E25" s="550"/>
      <c r="F25" s="550"/>
      <c r="G25" s="550"/>
      <c r="H25" s="550"/>
      <c r="I25" s="550"/>
      <c r="J25" s="550"/>
      <c r="K25" s="550"/>
    </row>
    <row r="26" spans="1:12" ht="16.149999999999999" customHeight="1">
      <c r="A26" s="345"/>
      <c r="B26" s="345"/>
      <c r="C26" s="345"/>
      <c r="D26" s="345"/>
      <c r="E26" s="345"/>
      <c r="F26" s="345"/>
      <c r="G26" s="345"/>
      <c r="H26" s="345"/>
      <c r="I26" s="345"/>
      <c r="J26" s="345"/>
      <c r="K26" s="345"/>
    </row>
    <row r="27" spans="1:12" ht="16.149999999999999" customHeight="1" thickBot="1">
      <c r="A27" s="346"/>
      <c r="B27" s="346"/>
      <c r="C27" s="346"/>
      <c r="D27" s="346"/>
    </row>
    <row r="28" spans="1:12" ht="16.149999999999999" customHeight="1">
      <c r="B28" s="288"/>
      <c r="C28" s="543" t="s">
        <v>567</v>
      </c>
      <c r="D28" s="553" t="s">
        <v>208</v>
      </c>
      <c r="E28" s="545">
        <f t="shared" ref="E28:K28" si="0">AVERAGE(E6:E25)</f>
        <v>112</v>
      </c>
      <c r="F28" s="547">
        <f t="shared" si="0"/>
        <v>4.24</v>
      </c>
      <c r="G28" s="547">
        <f t="shared" si="0"/>
        <v>2.87</v>
      </c>
      <c r="H28" s="545">
        <f t="shared" si="0"/>
        <v>1760.2</v>
      </c>
      <c r="I28" s="545">
        <f t="shared" si="0"/>
        <v>1217.7</v>
      </c>
      <c r="J28" s="545">
        <f t="shared" si="0"/>
        <v>676.7</v>
      </c>
      <c r="K28" s="551">
        <f t="shared" si="0"/>
        <v>13941.5</v>
      </c>
      <c r="L28" s="541">
        <f>75/3</f>
        <v>25</v>
      </c>
    </row>
    <row r="29" spans="1:12" ht="16.149999999999999" customHeight="1" thickBot="1">
      <c r="C29" s="544"/>
      <c r="D29" s="554"/>
      <c r="E29" s="546"/>
      <c r="F29" s="548"/>
      <c r="G29" s="548"/>
      <c r="H29" s="546"/>
      <c r="I29" s="546"/>
      <c r="J29" s="546"/>
      <c r="K29" s="552"/>
      <c r="L29" s="542"/>
    </row>
    <row r="32" spans="1:12">
      <c r="A32" s="329" t="s">
        <v>568</v>
      </c>
    </row>
    <row r="33" spans="1:12">
      <c r="A33" s="550"/>
      <c r="B33" s="550"/>
      <c r="C33" s="539" t="s">
        <v>419</v>
      </c>
      <c r="D33" s="539" t="s">
        <v>420</v>
      </c>
      <c r="E33" s="539" t="s">
        <v>431</v>
      </c>
      <c r="F33" s="539" t="s">
        <v>432</v>
      </c>
      <c r="G33" s="539" t="s">
        <v>546</v>
      </c>
      <c r="H33" s="539" t="s">
        <v>547</v>
      </c>
      <c r="I33" s="539" t="s">
        <v>433</v>
      </c>
      <c r="J33" s="329" t="s">
        <v>548</v>
      </c>
      <c r="K33" s="539" t="s">
        <v>549</v>
      </c>
      <c r="L33" s="539" t="s">
        <v>423</v>
      </c>
    </row>
    <row r="34" spans="1:12">
      <c r="A34" s="550"/>
      <c r="B34" s="550"/>
      <c r="C34" s="539"/>
      <c r="D34" s="539"/>
      <c r="E34" s="539"/>
      <c r="F34" s="539"/>
      <c r="G34" s="539"/>
      <c r="H34" s="539"/>
      <c r="I34" s="539"/>
      <c r="J34" s="329" t="s">
        <v>550</v>
      </c>
      <c r="K34" s="539"/>
      <c r="L34" s="539"/>
    </row>
    <row r="35" spans="1:12">
      <c r="A35" s="550"/>
      <c r="B35" s="555" t="s">
        <v>551</v>
      </c>
      <c r="C35" s="550" t="s">
        <v>569</v>
      </c>
      <c r="D35" s="550" t="s">
        <v>208</v>
      </c>
      <c r="E35" s="550">
        <v>149</v>
      </c>
      <c r="F35" s="550">
        <v>5.7</v>
      </c>
      <c r="G35" s="550">
        <v>5.2</v>
      </c>
      <c r="H35" s="556">
        <v>2040</v>
      </c>
      <c r="I35" s="549">
        <v>1895</v>
      </c>
      <c r="J35" s="550">
        <v>905</v>
      </c>
      <c r="K35" s="549">
        <v>25775</v>
      </c>
    </row>
    <row r="36" spans="1:12">
      <c r="A36" s="550"/>
      <c r="B36" s="555"/>
      <c r="C36" s="550"/>
      <c r="D36" s="550"/>
      <c r="E36" s="550"/>
      <c r="F36" s="550"/>
      <c r="G36" s="550"/>
      <c r="H36" s="557"/>
      <c r="I36" s="550"/>
      <c r="J36" s="550"/>
      <c r="K36" s="550"/>
    </row>
    <row r="37" spans="1:12">
      <c r="A37" s="550"/>
      <c r="B37" s="555" t="s">
        <v>553</v>
      </c>
      <c r="C37" s="550" t="s">
        <v>570</v>
      </c>
      <c r="D37" s="550" t="s">
        <v>208</v>
      </c>
      <c r="E37" s="550">
        <v>153</v>
      </c>
      <c r="F37" s="550">
        <v>5.8</v>
      </c>
      <c r="G37" s="550">
        <v>5.8</v>
      </c>
      <c r="H37" s="556">
        <v>2570</v>
      </c>
      <c r="I37" s="549">
        <v>1662</v>
      </c>
      <c r="J37" s="549">
        <v>1038</v>
      </c>
      <c r="K37" s="549">
        <v>24500</v>
      </c>
    </row>
    <row r="38" spans="1:12">
      <c r="A38" s="550"/>
      <c r="B38" s="555"/>
      <c r="C38" s="550"/>
      <c r="D38" s="550"/>
      <c r="E38" s="550"/>
      <c r="F38" s="550"/>
      <c r="G38" s="550"/>
      <c r="H38" s="557"/>
      <c r="I38" s="550"/>
      <c r="J38" s="550"/>
      <c r="K38" s="550"/>
    </row>
    <row r="39" spans="1:12">
      <c r="A39" s="550"/>
      <c r="B39" s="555" t="s">
        <v>557</v>
      </c>
      <c r="C39" s="550" t="s">
        <v>571</v>
      </c>
      <c r="D39" s="550" t="s">
        <v>208</v>
      </c>
      <c r="E39" s="550">
        <v>155</v>
      </c>
      <c r="F39" s="550">
        <v>5.9</v>
      </c>
      <c r="G39" s="550">
        <v>5.2</v>
      </c>
      <c r="H39" s="549">
        <v>2537</v>
      </c>
      <c r="I39" s="549">
        <v>1683</v>
      </c>
      <c r="J39" s="549">
        <v>1235</v>
      </c>
      <c r="K39" s="549">
        <v>22095</v>
      </c>
    </row>
    <row r="40" spans="1:12">
      <c r="A40" s="550"/>
      <c r="B40" s="555"/>
      <c r="C40" s="550"/>
      <c r="D40" s="550"/>
      <c r="E40" s="550"/>
      <c r="F40" s="550"/>
      <c r="G40" s="550"/>
      <c r="H40" s="550"/>
      <c r="I40" s="550"/>
      <c r="J40" s="550"/>
      <c r="K40" s="550"/>
    </row>
    <row r="41" spans="1:12">
      <c r="A41" s="550"/>
      <c r="B41" s="555" t="s">
        <v>557</v>
      </c>
      <c r="C41" s="550" t="s">
        <v>572</v>
      </c>
      <c r="D41" s="550" t="s">
        <v>208</v>
      </c>
      <c r="E41" s="550">
        <v>155</v>
      </c>
      <c r="F41" s="550">
        <v>5.9</v>
      </c>
      <c r="G41" s="550">
        <v>5.2</v>
      </c>
      <c r="H41" s="549">
        <v>3715</v>
      </c>
      <c r="I41" s="549">
        <v>1658</v>
      </c>
      <c r="J41" s="549">
        <v>1102</v>
      </c>
      <c r="K41" s="549">
        <v>22150</v>
      </c>
    </row>
    <row r="42" spans="1:12">
      <c r="A42" s="550"/>
      <c r="B42" s="555"/>
      <c r="C42" s="550"/>
      <c r="D42" s="550"/>
      <c r="E42" s="550"/>
      <c r="F42" s="550"/>
      <c r="G42" s="550"/>
      <c r="H42" s="550"/>
      <c r="I42" s="550"/>
      <c r="J42" s="550"/>
      <c r="K42" s="550"/>
    </row>
    <row r="43" spans="1:12">
      <c r="A43" s="550"/>
      <c r="B43" s="555" t="s">
        <v>560</v>
      </c>
      <c r="C43" s="550" t="s">
        <v>573</v>
      </c>
      <c r="D43" s="550" t="s">
        <v>208</v>
      </c>
      <c r="E43" s="550">
        <v>168</v>
      </c>
      <c r="F43" s="550">
        <v>6.4</v>
      </c>
      <c r="G43" s="550">
        <v>5</v>
      </c>
      <c r="H43" s="549">
        <v>2254</v>
      </c>
      <c r="I43" s="549">
        <v>1661</v>
      </c>
      <c r="J43" s="549">
        <v>1037</v>
      </c>
      <c r="K43" s="549">
        <v>18635</v>
      </c>
    </row>
    <row r="44" spans="1:12">
      <c r="A44" s="550"/>
      <c r="B44" s="555"/>
      <c r="C44" s="550"/>
      <c r="D44" s="550"/>
      <c r="E44" s="550"/>
      <c r="F44" s="550"/>
      <c r="G44" s="550"/>
      <c r="H44" s="550"/>
      <c r="I44" s="550"/>
      <c r="J44" s="550"/>
      <c r="K44" s="550"/>
    </row>
    <row r="45" spans="1:12">
      <c r="A45" s="550"/>
      <c r="B45" s="555" t="s">
        <v>560</v>
      </c>
      <c r="C45" s="550" t="s">
        <v>574</v>
      </c>
      <c r="D45" s="550" t="s">
        <v>208</v>
      </c>
      <c r="E45" s="550">
        <v>168</v>
      </c>
      <c r="F45" s="550">
        <v>6.4</v>
      </c>
      <c r="G45" s="550">
        <v>5</v>
      </c>
      <c r="H45" s="549">
        <v>2254</v>
      </c>
      <c r="I45" s="549">
        <v>1661</v>
      </c>
      <c r="J45" s="549">
        <v>1037</v>
      </c>
      <c r="K45" s="549">
        <v>18930</v>
      </c>
    </row>
    <row r="46" spans="1:12">
      <c r="A46" s="550"/>
      <c r="B46" s="555"/>
      <c r="C46" s="550"/>
      <c r="D46" s="550"/>
      <c r="E46" s="550"/>
      <c r="F46" s="550"/>
      <c r="G46" s="550"/>
      <c r="H46" s="550"/>
      <c r="I46" s="550"/>
      <c r="J46" s="550"/>
      <c r="K46" s="550"/>
    </row>
    <row r="47" spans="1:12">
      <c r="A47" s="550"/>
      <c r="B47" s="555" t="s">
        <v>560</v>
      </c>
      <c r="C47" s="550" t="s">
        <v>575</v>
      </c>
      <c r="D47" s="550" t="s">
        <v>208</v>
      </c>
      <c r="E47" s="550">
        <v>168</v>
      </c>
      <c r="F47" s="550">
        <v>6.4</v>
      </c>
      <c r="G47" s="550">
        <v>5</v>
      </c>
      <c r="H47" s="549">
        <v>2254</v>
      </c>
      <c r="I47" s="549">
        <v>1661</v>
      </c>
      <c r="J47" s="550">
        <v>1.2370000000000001</v>
      </c>
      <c r="K47" s="549">
        <v>19940</v>
      </c>
    </row>
    <row r="48" spans="1:12">
      <c r="A48" s="550"/>
      <c r="B48" s="555"/>
      <c r="C48" s="550"/>
      <c r="D48" s="550"/>
      <c r="E48" s="550"/>
      <c r="F48" s="550"/>
      <c r="G48" s="550"/>
      <c r="H48" s="550"/>
      <c r="I48" s="550"/>
      <c r="J48" s="550"/>
      <c r="K48" s="550"/>
    </row>
    <row r="49" spans="1:12">
      <c r="A49" s="550"/>
      <c r="B49" s="555" t="s">
        <v>562</v>
      </c>
      <c r="C49" s="550" t="s">
        <v>576</v>
      </c>
      <c r="D49" s="550" t="s">
        <v>208</v>
      </c>
      <c r="E49" s="550">
        <v>178</v>
      </c>
      <c r="F49" s="550">
        <v>6.7</v>
      </c>
      <c r="G49" s="550">
        <v>5.9</v>
      </c>
      <c r="H49" s="549">
        <v>2555</v>
      </c>
      <c r="I49" s="549">
        <v>1720</v>
      </c>
      <c r="J49" s="550">
        <v>980</v>
      </c>
      <c r="K49" s="549">
        <v>20925</v>
      </c>
    </row>
    <row r="50" spans="1:12">
      <c r="A50" s="550"/>
      <c r="B50" s="555"/>
      <c r="C50" s="550"/>
      <c r="D50" s="550"/>
      <c r="E50" s="550"/>
      <c r="F50" s="550"/>
      <c r="G50" s="550"/>
      <c r="H50" s="550"/>
      <c r="I50" s="550"/>
      <c r="J50" s="550"/>
      <c r="K50" s="550"/>
    </row>
    <row r="51" spans="1:12" ht="16.5" thickBot="1">
      <c r="A51" s="346"/>
      <c r="B51" s="346"/>
      <c r="C51" s="346"/>
      <c r="D51" s="346"/>
      <c r="E51" s="346"/>
      <c r="F51" s="346"/>
      <c r="G51" s="346"/>
      <c r="H51" s="346"/>
      <c r="I51" s="346"/>
      <c r="J51" s="346"/>
      <c r="K51" s="346"/>
    </row>
    <row r="52" spans="1:12">
      <c r="C52" s="543" t="s">
        <v>577</v>
      </c>
      <c r="D52" s="553" t="s">
        <v>208</v>
      </c>
      <c r="E52" s="545">
        <f>AVERAGE(E35:E50)</f>
        <v>161.75</v>
      </c>
      <c r="F52" s="547">
        <f t="shared" ref="F52:K52" si="1">AVERAGE(F35:F50)</f>
        <v>6.1499999999999995</v>
      </c>
      <c r="G52" s="547">
        <f t="shared" si="1"/>
        <v>5.2874999999999996</v>
      </c>
      <c r="H52" s="545">
        <f t="shared" si="1"/>
        <v>2522.375</v>
      </c>
      <c r="I52" s="545">
        <f>AVERAGE(I35:I50)</f>
        <v>1700.125</v>
      </c>
      <c r="J52" s="545">
        <f t="shared" si="1"/>
        <v>916.90462500000001</v>
      </c>
      <c r="K52" s="551">
        <f t="shared" si="1"/>
        <v>21618.75</v>
      </c>
      <c r="L52" s="541">
        <f>105/3</f>
        <v>35</v>
      </c>
    </row>
    <row r="53" spans="1:12" ht="16.5" thickBot="1">
      <c r="C53" s="544"/>
      <c r="D53" s="554"/>
      <c r="E53" s="546"/>
      <c r="F53" s="548"/>
      <c r="G53" s="548"/>
      <c r="H53" s="546"/>
      <c r="I53" s="546"/>
      <c r="J53" s="546"/>
      <c r="K53" s="552"/>
      <c r="L53" s="542"/>
    </row>
    <row r="55" spans="1:12">
      <c r="A55" s="329" t="s">
        <v>578</v>
      </c>
    </row>
    <row r="57" spans="1:12">
      <c r="A57" s="550"/>
      <c r="B57" s="550"/>
      <c r="C57" s="539" t="s">
        <v>419</v>
      </c>
      <c r="D57" s="539" t="s">
        <v>420</v>
      </c>
      <c r="E57" s="539" t="s">
        <v>431</v>
      </c>
      <c r="F57" s="539" t="s">
        <v>432</v>
      </c>
      <c r="G57" s="539" t="s">
        <v>546</v>
      </c>
      <c r="H57" s="539" t="s">
        <v>547</v>
      </c>
      <c r="I57" s="539" t="s">
        <v>433</v>
      </c>
      <c r="J57" s="329" t="s">
        <v>548</v>
      </c>
      <c r="K57" s="539" t="s">
        <v>549</v>
      </c>
      <c r="L57" s="539" t="s">
        <v>423</v>
      </c>
    </row>
    <row r="58" spans="1:12">
      <c r="A58" s="550"/>
      <c r="B58" s="550"/>
      <c r="C58" s="539"/>
      <c r="D58" s="539"/>
      <c r="E58" s="539"/>
      <c r="F58" s="539"/>
      <c r="G58" s="539"/>
      <c r="H58" s="539"/>
      <c r="I58" s="539"/>
      <c r="J58" s="329" t="s">
        <v>550</v>
      </c>
      <c r="K58" s="539"/>
      <c r="L58" s="539"/>
    </row>
    <row r="59" spans="1:12">
      <c r="A59" s="550"/>
      <c r="B59" s="555" t="s">
        <v>551</v>
      </c>
      <c r="C59" s="550" t="s">
        <v>579</v>
      </c>
      <c r="D59" s="550" t="s">
        <v>208</v>
      </c>
      <c r="E59" s="550">
        <v>153</v>
      </c>
      <c r="F59" s="550">
        <v>5.8</v>
      </c>
      <c r="G59" s="550">
        <v>8</v>
      </c>
      <c r="H59" s="549">
        <v>2670</v>
      </c>
      <c r="I59" s="549">
        <v>1770</v>
      </c>
      <c r="J59" s="550">
        <v>955</v>
      </c>
      <c r="K59" s="549">
        <v>22900</v>
      </c>
    </row>
    <row r="60" spans="1:12">
      <c r="A60" s="550"/>
      <c r="B60" s="555"/>
      <c r="C60" s="550"/>
      <c r="D60" s="550"/>
      <c r="E60" s="550"/>
      <c r="F60" s="550"/>
      <c r="G60" s="550"/>
      <c r="H60" s="550"/>
      <c r="I60" s="550"/>
      <c r="J60" s="550"/>
      <c r="K60" s="550"/>
    </row>
    <row r="61" spans="1:12">
      <c r="A61" s="539"/>
      <c r="B61" s="555" t="s">
        <v>553</v>
      </c>
      <c r="C61" s="550" t="s">
        <v>580</v>
      </c>
      <c r="D61" s="550" t="s">
        <v>208</v>
      </c>
      <c r="E61" s="550">
        <v>171</v>
      </c>
      <c r="F61" s="550">
        <v>6.5</v>
      </c>
      <c r="G61" s="550">
        <v>9</v>
      </c>
      <c r="H61" s="549">
        <v>3260</v>
      </c>
      <c r="I61" s="549">
        <v>2065</v>
      </c>
      <c r="J61" s="550">
        <v>935</v>
      </c>
      <c r="K61" s="549">
        <v>27790</v>
      </c>
    </row>
    <row r="62" spans="1:12">
      <c r="A62" s="539"/>
      <c r="B62" s="555"/>
      <c r="C62" s="550"/>
      <c r="D62" s="550"/>
      <c r="E62" s="550"/>
      <c r="F62" s="550"/>
      <c r="G62" s="550"/>
      <c r="H62" s="550"/>
      <c r="I62" s="550"/>
      <c r="J62" s="550"/>
      <c r="K62" s="550"/>
    </row>
    <row r="63" spans="1:12">
      <c r="A63" s="550"/>
      <c r="B63" s="555" t="s">
        <v>553</v>
      </c>
      <c r="C63" s="550" t="s">
        <v>581</v>
      </c>
      <c r="D63" s="550" t="s">
        <v>208</v>
      </c>
      <c r="E63" s="550">
        <v>171</v>
      </c>
      <c r="F63" s="550">
        <v>6.5</v>
      </c>
      <c r="G63" s="550">
        <v>7.5</v>
      </c>
      <c r="H63" s="549">
        <v>2600</v>
      </c>
      <c r="I63" s="549">
        <v>1804</v>
      </c>
      <c r="J63" s="550">
        <v>1196</v>
      </c>
      <c r="K63" s="549">
        <v>24805</v>
      </c>
    </row>
    <row r="64" spans="1:12">
      <c r="A64" s="550"/>
      <c r="B64" s="555"/>
      <c r="C64" s="550"/>
      <c r="D64" s="550"/>
      <c r="E64" s="550"/>
      <c r="F64" s="550"/>
      <c r="G64" s="550"/>
      <c r="H64" s="550"/>
      <c r="I64" s="550"/>
      <c r="J64" s="550"/>
      <c r="K64" s="550"/>
    </row>
    <row r="65" spans="1:12">
      <c r="A65" s="550"/>
      <c r="B65" s="555" t="s">
        <v>557</v>
      </c>
      <c r="C65" s="550" t="s">
        <v>582</v>
      </c>
      <c r="D65" s="550" t="s">
        <v>208</v>
      </c>
      <c r="E65" s="550">
        <v>175</v>
      </c>
      <c r="F65" s="550">
        <v>6.6</v>
      </c>
      <c r="G65" s="550">
        <v>8</v>
      </c>
      <c r="H65" s="549">
        <v>2670</v>
      </c>
      <c r="I65" s="549">
        <v>1835</v>
      </c>
      <c r="J65" s="550">
        <v>1165</v>
      </c>
      <c r="K65" s="549">
        <v>22900</v>
      </c>
    </row>
    <row r="66" spans="1:12">
      <c r="A66" s="550"/>
      <c r="B66" s="555"/>
      <c r="C66" s="550"/>
      <c r="D66" s="550"/>
      <c r="E66" s="550"/>
      <c r="F66" s="550"/>
      <c r="G66" s="550"/>
      <c r="H66" s="550"/>
      <c r="I66" s="550"/>
      <c r="J66" s="550"/>
      <c r="K66" s="550"/>
    </row>
    <row r="67" spans="1:12">
      <c r="A67" s="550"/>
      <c r="B67" s="555" t="s">
        <v>557</v>
      </c>
      <c r="C67" s="550" t="s">
        <v>583</v>
      </c>
      <c r="D67" s="550" t="s">
        <v>208</v>
      </c>
      <c r="E67" s="550">
        <v>175</v>
      </c>
      <c r="F67" s="550">
        <v>6.6</v>
      </c>
      <c r="G67" s="550">
        <v>8</v>
      </c>
      <c r="H67" s="549">
        <v>2670</v>
      </c>
      <c r="I67" s="549">
        <v>1835</v>
      </c>
      <c r="J67" s="550">
        <v>1165</v>
      </c>
      <c r="K67" s="549">
        <v>22800</v>
      </c>
    </row>
    <row r="68" spans="1:12">
      <c r="A68" s="550"/>
      <c r="B68" s="555"/>
      <c r="C68" s="550"/>
      <c r="D68" s="550"/>
      <c r="E68" s="550"/>
      <c r="F68" s="550"/>
      <c r="G68" s="550"/>
      <c r="H68" s="550"/>
      <c r="I68" s="550"/>
      <c r="J68" s="550"/>
      <c r="K68" s="550"/>
    </row>
    <row r="69" spans="1:12">
      <c r="A69" s="550"/>
      <c r="B69" s="555" t="s">
        <v>560</v>
      </c>
      <c r="C69" s="550" t="s">
        <v>584</v>
      </c>
      <c r="D69" s="550" t="s">
        <v>208</v>
      </c>
      <c r="E69" s="550">
        <v>177</v>
      </c>
      <c r="F69" s="550">
        <v>6.8</v>
      </c>
      <c r="G69" s="550">
        <v>8</v>
      </c>
      <c r="H69" s="549">
        <v>2583</v>
      </c>
      <c r="I69" s="549">
        <v>1781</v>
      </c>
      <c r="J69" s="550">
        <v>994</v>
      </c>
      <c r="K69" s="549">
        <v>24290</v>
      </c>
    </row>
    <row r="70" spans="1:12">
      <c r="A70" s="550"/>
      <c r="B70" s="555"/>
      <c r="C70" s="550"/>
      <c r="D70" s="550"/>
      <c r="E70" s="550"/>
      <c r="F70" s="550"/>
      <c r="G70" s="550"/>
      <c r="H70" s="550"/>
      <c r="I70" s="550"/>
      <c r="J70" s="550"/>
      <c r="K70" s="550"/>
    </row>
    <row r="71" spans="1:12">
      <c r="A71" s="550"/>
      <c r="B71" s="555" t="s">
        <v>562</v>
      </c>
      <c r="C71" s="550" t="s">
        <v>585</v>
      </c>
      <c r="D71" s="550" t="s">
        <v>208</v>
      </c>
      <c r="E71" s="550">
        <v>180</v>
      </c>
      <c r="F71" s="550">
        <v>6.9</v>
      </c>
      <c r="G71" s="550">
        <v>7.8</v>
      </c>
      <c r="H71" s="549">
        <v>2583</v>
      </c>
      <c r="I71" s="549">
        <v>1822</v>
      </c>
      <c r="J71" s="550">
        <v>1438</v>
      </c>
      <c r="K71" s="549">
        <v>25100</v>
      </c>
    </row>
    <row r="72" spans="1:12">
      <c r="A72" s="550"/>
      <c r="B72" s="555"/>
      <c r="C72" s="550"/>
      <c r="D72" s="550"/>
      <c r="E72" s="550"/>
      <c r="F72" s="550"/>
      <c r="G72" s="550"/>
      <c r="H72" s="550"/>
      <c r="I72" s="550"/>
      <c r="J72" s="550"/>
      <c r="K72" s="550"/>
    </row>
    <row r="73" spans="1:12">
      <c r="A73" s="346"/>
      <c r="B73" s="346"/>
      <c r="C73" s="346"/>
      <c r="D73" s="550" t="s">
        <v>208</v>
      </c>
      <c r="E73" s="346"/>
      <c r="F73" s="346"/>
      <c r="G73" s="346"/>
      <c r="H73" s="346"/>
      <c r="I73" s="346"/>
      <c r="J73" s="346"/>
      <c r="K73" s="346"/>
    </row>
    <row r="74" spans="1:12">
      <c r="A74" s="346"/>
      <c r="B74" s="346"/>
      <c r="C74" s="346"/>
      <c r="D74" s="550"/>
      <c r="E74" s="346"/>
      <c r="F74" s="346"/>
      <c r="G74" s="346"/>
      <c r="H74" s="346"/>
      <c r="I74" s="346"/>
      <c r="J74" s="346"/>
      <c r="K74" s="346"/>
    </row>
    <row r="75" spans="1:12" ht="24" thickBot="1">
      <c r="A75" s="347"/>
      <c r="D75" s="346"/>
    </row>
    <row r="76" spans="1:12">
      <c r="C76" s="543" t="s">
        <v>586</v>
      </c>
      <c r="D76" s="553" t="s">
        <v>208</v>
      </c>
      <c r="E76" s="545">
        <f>AVERAGE(E59:E74)</f>
        <v>171.71428571428572</v>
      </c>
      <c r="F76" s="547">
        <f t="shared" ref="F76:H76" si="2">AVERAGE(F59:F74)</f>
        <v>6.5285714285714276</v>
      </c>
      <c r="G76" s="547">
        <f t="shared" si="2"/>
        <v>8.0428571428571427</v>
      </c>
      <c r="H76" s="545">
        <f t="shared" si="2"/>
        <v>2719.4285714285716</v>
      </c>
      <c r="I76" s="545">
        <f>AVERAGE(I59:I74)</f>
        <v>1844.5714285714287</v>
      </c>
      <c r="J76" s="545">
        <f t="shared" ref="J76:K76" si="3">AVERAGE(J59:J74)</f>
        <v>1121.1428571428571</v>
      </c>
      <c r="K76" s="551">
        <f t="shared" si="3"/>
        <v>24369.285714285714</v>
      </c>
      <c r="L76" s="541">
        <f>111/3</f>
        <v>37</v>
      </c>
    </row>
    <row r="77" spans="1:12" ht="16.5" thickBot="1">
      <c r="A77" s="295"/>
      <c r="C77" s="544"/>
      <c r="D77" s="554"/>
      <c r="E77" s="546"/>
      <c r="F77" s="548"/>
      <c r="G77" s="548"/>
      <c r="H77" s="546"/>
      <c r="I77" s="546"/>
      <c r="J77" s="546"/>
      <c r="K77" s="552"/>
      <c r="L77" s="542"/>
    </row>
    <row r="82" spans="1:4">
      <c r="A82" s="288" t="s">
        <v>66</v>
      </c>
    </row>
    <row r="83" spans="1:4">
      <c r="A83" s="250" t="s">
        <v>104</v>
      </c>
      <c r="D83" s="295" t="s">
        <v>105</v>
      </c>
    </row>
    <row r="84" spans="1:4">
      <c r="A84" s="250" t="s">
        <v>587</v>
      </c>
      <c r="D84" s="250" t="s">
        <v>134</v>
      </c>
    </row>
    <row r="85" spans="1:4" ht="18">
      <c r="A85" s="348"/>
    </row>
    <row r="87" spans="1:4">
      <c r="A87" s="295"/>
    </row>
    <row r="88" spans="1:4" ht="18">
      <c r="A88" s="348"/>
    </row>
    <row r="89" spans="1:4" ht="16.5">
      <c r="A89" s="349"/>
    </row>
    <row r="90" spans="1:4" ht="16.5">
      <c r="A90" s="349"/>
    </row>
    <row r="91" spans="1:4" ht="16.5">
      <c r="A91" s="349"/>
    </row>
    <row r="92" spans="1:4" ht="16.5">
      <c r="A92" s="349"/>
    </row>
    <row r="93" spans="1:4" ht="16.5">
      <c r="A93" s="349"/>
    </row>
  </sheetData>
  <sheetProtection algorithmName="SHA-512" hashValue="iUKDkzUyYYHrZ5/yxwLmtnQLFGXq+3Qi0dJUMiB8/ueCjNGCIeRvZV2hKjwIDF3XJiEn42hLYXZVtr4I81czeA==" saltValue="3pK/HDoqPUT8TfXmaoDfNg==" spinCount="100000" sheet="1" objects="1" scenarios="1"/>
  <mergeCells count="339">
    <mergeCell ref="A35:A36"/>
    <mergeCell ref="B35:B36"/>
    <mergeCell ref="C35:C36"/>
    <mergeCell ref="E35:E36"/>
    <mergeCell ref="F35:F36"/>
    <mergeCell ref="G35:G36"/>
    <mergeCell ref="H35:H36"/>
    <mergeCell ref="I35:I36"/>
    <mergeCell ref="A33:A34"/>
    <mergeCell ref="B33:B34"/>
    <mergeCell ref="C33:C34"/>
    <mergeCell ref="E33:E34"/>
    <mergeCell ref="F33:F34"/>
    <mergeCell ref="G33:G34"/>
    <mergeCell ref="H33:H34"/>
    <mergeCell ref="D33:D34"/>
    <mergeCell ref="D35:D36"/>
    <mergeCell ref="I33:I34"/>
    <mergeCell ref="A37:A38"/>
    <mergeCell ref="B37:B38"/>
    <mergeCell ref="C37:C38"/>
    <mergeCell ref="E37:E38"/>
    <mergeCell ref="F37:F38"/>
    <mergeCell ref="G37:G38"/>
    <mergeCell ref="H37:H38"/>
    <mergeCell ref="I37:I38"/>
    <mergeCell ref="A39:A40"/>
    <mergeCell ref="B39:B40"/>
    <mergeCell ref="C39:C40"/>
    <mergeCell ref="E39:E40"/>
    <mergeCell ref="F39:F40"/>
    <mergeCell ref="G39:G40"/>
    <mergeCell ref="H39:H40"/>
    <mergeCell ref="I39:I40"/>
    <mergeCell ref="D37:D38"/>
    <mergeCell ref="A45:A46"/>
    <mergeCell ref="B45:B46"/>
    <mergeCell ref="C45:C46"/>
    <mergeCell ref="E45:E46"/>
    <mergeCell ref="F45:F46"/>
    <mergeCell ref="G45:G46"/>
    <mergeCell ref="H45:H46"/>
    <mergeCell ref="I45:I46"/>
    <mergeCell ref="J41:J42"/>
    <mergeCell ref="A43:A44"/>
    <mergeCell ref="B43:B44"/>
    <mergeCell ref="C43:C44"/>
    <mergeCell ref="E43:E44"/>
    <mergeCell ref="F43:F44"/>
    <mergeCell ref="G43:G44"/>
    <mergeCell ref="H43:H44"/>
    <mergeCell ref="I43:I44"/>
    <mergeCell ref="A41:A42"/>
    <mergeCell ref="B41:B42"/>
    <mergeCell ref="C41:C42"/>
    <mergeCell ref="E41:E42"/>
    <mergeCell ref="F41:F42"/>
    <mergeCell ref="G41:G42"/>
    <mergeCell ref="H41:H42"/>
    <mergeCell ref="A57:A58"/>
    <mergeCell ref="B57:B58"/>
    <mergeCell ref="C57:C58"/>
    <mergeCell ref="E57:E58"/>
    <mergeCell ref="F57:F58"/>
    <mergeCell ref="G57:G58"/>
    <mergeCell ref="H57:H58"/>
    <mergeCell ref="I57:I58"/>
    <mergeCell ref="J47:J48"/>
    <mergeCell ref="A49:A50"/>
    <mergeCell ref="B49:B50"/>
    <mergeCell ref="C49:C50"/>
    <mergeCell ref="E49:E50"/>
    <mergeCell ref="F49:F50"/>
    <mergeCell ref="G49:G50"/>
    <mergeCell ref="H49:H50"/>
    <mergeCell ref="I49:I50"/>
    <mergeCell ref="A47:A48"/>
    <mergeCell ref="B47:B48"/>
    <mergeCell ref="C47:C48"/>
    <mergeCell ref="E47:E48"/>
    <mergeCell ref="F47:F48"/>
    <mergeCell ref="G47:G48"/>
    <mergeCell ref="H47:H48"/>
    <mergeCell ref="K59:K60"/>
    <mergeCell ref="A61:A62"/>
    <mergeCell ref="B61:B62"/>
    <mergeCell ref="C61:C62"/>
    <mergeCell ref="E61:E62"/>
    <mergeCell ref="F61:F62"/>
    <mergeCell ref="G61:G62"/>
    <mergeCell ref="H61:H62"/>
    <mergeCell ref="I61:I62"/>
    <mergeCell ref="J61:J62"/>
    <mergeCell ref="A59:A60"/>
    <mergeCell ref="B59:B60"/>
    <mergeCell ref="C59:C60"/>
    <mergeCell ref="E59:E60"/>
    <mergeCell ref="F59:F60"/>
    <mergeCell ref="G59:G60"/>
    <mergeCell ref="H59:H60"/>
    <mergeCell ref="I59:I60"/>
    <mergeCell ref="J59:J60"/>
    <mergeCell ref="K61:K62"/>
    <mergeCell ref="D59:D60"/>
    <mergeCell ref="D61:D62"/>
    <mergeCell ref="K65:K66"/>
    <mergeCell ref="D63:D64"/>
    <mergeCell ref="D65:D66"/>
    <mergeCell ref="A63:A64"/>
    <mergeCell ref="B63:B64"/>
    <mergeCell ref="C63:C64"/>
    <mergeCell ref="E63:E64"/>
    <mergeCell ref="F63:F64"/>
    <mergeCell ref="G63:G64"/>
    <mergeCell ref="H63:H64"/>
    <mergeCell ref="I63:I64"/>
    <mergeCell ref="J63:J64"/>
    <mergeCell ref="A65:A66"/>
    <mergeCell ref="B65:B66"/>
    <mergeCell ref="C65:C66"/>
    <mergeCell ref="E65:E66"/>
    <mergeCell ref="F65:F66"/>
    <mergeCell ref="G65:G66"/>
    <mergeCell ref="H65:H66"/>
    <mergeCell ref="I65:I66"/>
    <mergeCell ref="J65:J66"/>
    <mergeCell ref="A67:A68"/>
    <mergeCell ref="B67:B68"/>
    <mergeCell ref="C67:C68"/>
    <mergeCell ref="E67:E68"/>
    <mergeCell ref="F67:F68"/>
    <mergeCell ref="G67:G68"/>
    <mergeCell ref="H67:H68"/>
    <mergeCell ref="I67:I68"/>
    <mergeCell ref="J67:J68"/>
    <mergeCell ref="D67:D68"/>
    <mergeCell ref="A4:A5"/>
    <mergeCell ref="B4:B5"/>
    <mergeCell ref="C4:C5"/>
    <mergeCell ref="E4:E5"/>
    <mergeCell ref="F4:F5"/>
    <mergeCell ref="G4:G5"/>
    <mergeCell ref="H4:H5"/>
    <mergeCell ref="I4:I5"/>
    <mergeCell ref="A71:A72"/>
    <mergeCell ref="B71:B72"/>
    <mergeCell ref="C71:C72"/>
    <mergeCell ref="E71:E72"/>
    <mergeCell ref="F71:F72"/>
    <mergeCell ref="G71:G72"/>
    <mergeCell ref="H71:H72"/>
    <mergeCell ref="I71:I72"/>
    <mergeCell ref="A69:A70"/>
    <mergeCell ref="B69:B70"/>
    <mergeCell ref="C69:C70"/>
    <mergeCell ref="E69:E70"/>
    <mergeCell ref="F69:F70"/>
    <mergeCell ref="G69:G70"/>
    <mergeCell ref="H69:H70"/>
    <mergeCell ref="I69:I70"/>
    <mergeCell ref="A6:A7"/>
    <mergeCell ref="B6:B7"/>
    <mergeCell ref="C6:C7"/>
    <mergeCell ref="E6:E7"/>
    <mergeCell ref="F6:F7"/>
    <mergeCell ref="G6:G7"/>
    <mergeCell ref="H6:H7"/>
    <mergeCell ref="I6:I7"/>
    <mergeCell ref="J6:J7"/>
    <mergeCell ref="A8:A9"/>
    <mergeCell ref="B8:B9"/>
    <mergeCell ref="C8:C9"/>
    <mergeCell ref="E8:E9"/>
    <mergeCell ref="F8:F9"/>
    <mergeCell ref="G8:G9"/>
    <mergeCell ref="H8:H9"/>
    <mergeCell ref="I8:I9"/>
    <mergeCell ref="J8:J9"/>
    <mergeCell ref="A10:A11"/>
    <mergeCell ref="B10:B11"/>
    <mergeCell ref="C10:C11"/>
    <mergeCell ref="E10:E11"/>
    <mergeCell ref="F10:F11"/>
    <mergeCell ref="G10:G11"/>
    <mergeCell ref="H10:H11"/>
    <mergeCell ref="I10:I11"/>
    <mergeCell ref="J10:J11"/>
    <mergeCell ref="A12:A13"/>
    <mergeCell ref="B12:B13"/>
    <mergeCell ref="C12:C13"/>
    <mergeCell ref="E12:E13"/>
    <mergeCell ref="F12:F13"/>
    <mergeCell ref="G12:G13"/>
    <mergeCell ref="H12:H13"/>
    <mergeCell ref="I12:I13"/>
    <mergeCell ref="J12:J13"/>
    <mergeCell ref="A14:A15"/>
    <mergeCell ref="B14:B15"/>
    <mergeCell ref="C14:C15"/>
    <mergeCell ref="E14:E15"/>
    <mergeCell ref="F14:F15"/>
    <mergeCell ref="G14:G15"/>
    <mergeCell ref="H14:H15"/>
    <mergeCell ref="I14:I15"/>
    <mergeCell ref="J14:J15"/>
    <mergeCell ref="A16:A17"/>
    <mergeCell ref="B16:B17"/>
    <mergeCell ref="C16:C17"/>
    <mergeCell ref="E16:E17"/>
    <mergeCell ref="F16:F17"/>
    <mergeCell ref="G16:G17"/>
    <mergeCell ref="H16:H17"/>
    <mergeCell ref="I16:I17"/>
    <mergeCell ref="J16:J17"/>
    <mergeCell ref="A18:A19"/>
    <mergeCell ref="B18:B19"/>
    <mergeCell ref="C18:C19"/>
    <mergeCell ref="E18:E19"/>
    <mergeCell ref="F18:F19"/>
    <mergeCell ref="G18:G19"/>
    <mergeCell ref="H18:H19"/>
    <mergeCell ref="I18:I19"/>
    <mergeCell ref="J18:J19"/>
    <mergeCell ref="A20:A21"/>
    <mergeCell ref="B20:B21"/>
    <mergeCell ref="C20:C21"/>
    <mergeCell ref="E20:E21"/>
    <mergeCell ref="F20:F21"/>
    <mergeCell ref="G20:G21"/>
    <mergeCell ref="H20:H21"/>
    <mergeCell ref="I20:I21"/>
    <mergeCell ref="J20:J21"/>
    <mergeCell ref="D20:D21"/>
    <mergeCell ref="A24:A25"/>
    <mergeCell ref="B24:B25"/>
    <mergeCell ref="C24:C25"/>
    <mergeCell ref="E24:E25"/>
    <mergeCell ref="F24:F25"/>
    <mergeCell ref="G24:G25"/>
    <mergeCell ref="H24:H25"/>
    <mergeCell ref="I24:I25"/>
    <mergeCell ref="D24:D25"/>
    <mergeCell ref="A22:A23"/>
    <mergeCell ref="B22:B23"/>
    <mergeCell ref="C22:C23"/>
    <mergeCell ref="E22:E23"/>
    <mergeCell ref="F22:F23"/>
    <mergeCell ref="G22:G23"/>
    <mergeCell ref="H22:H23"/>
    <mergeCell ref="I22:I23"/>
    <mergeCell ref="D22:D23"/>
    <mergeCell ref="K24:K25"/>
    <mergeCell ref="D4:D5"/>
    <mergeCell ref="D6:D7"/>
    <mergeCell ref="D8:D9"/>
    <mergeCell ref="D10:D11"/>
    <mergeCell ref="D12:D13"/>
    <mergeCell ref="D14:D15"/>
    <mergeCell ref="D16:D17"/>
    <mergeCell ref="D18:D19"/>
    <mergeCell ref="K22:K23"/>
    <mergeCell ref="K20:K21"/>
    <mergeCell ref="K18:K19"/>
    <mergeCell ref="K16:K17"/>
    <mergeCell ref="K14:K15"/>
    <mergeCell ref="K12:K13"/>
    <mergeCell ref="K10:K11"/>
    <mergeCell ref="K8:K9"/>
    <mergeCell ref="K6:K7"/>
    <mergeCell ref="K4:K5"/>
    <mergeCell ref="J24:J25"/>
    <mergeCell ref="J22:J23"/>
    <mergeCell ref="K33:K34"/>
    <mergeCell ref="K35:K36"/>
    <mergeCell ref="J35:J36"/>
    <mergeCell ref="G28:G29"/>
    <mergeCell ref="H28:H29"/>
    <mergeCell ref="C52:C53"/>
    <mergeCell ref="E52:E53"/>
    <mergeCell ref="F52:F53"/>
    <mergeCell ref="D39:D40"/>
    <mergeCell ref="D41:D42"/>
    <mergeCell ref="D43:D44"/>
    <mergeCell ref="D45:D46"/>
    <mergeCell ref="D47:D48"/>
    <mergeCell ref="D49:D50"/>
    <mergeCell ref="C28:C29"/>
    <mergeCell ref="D28:D29"/>
    <mergeCell ref="E28:E29"/>
    <mergeCell ref="F28:F29"/>
    <mergeCell ref="I28:I29"/>
    <mergeCell ref="J71:J72"/>
    <mergeCell ref="K67:K68"/>
    <mergeCell ref="J69:J70"/>
    <mergeCell ref="K69:K70"/>
    <mergeCell ref="D69:D70"/>
    <mergeCell ref="K63:K64"/>
    <mergeCell ref="J28:J29"/>
    <mergeCell ref="K28:K29"/>
    <mergeCell ref="D52:D53"/>
    <mergeCell ref="K57:K58"/>
    <mergeCell ref="J49:J50"/>
    <mergeCell ref="K49:K50"/>
    <mergeCell ref="K47:K48"/>
    <mergeCell ref="J45:J46"/>
    <mergeCell ref="K45:K46"/>
    <mergeCell ref="I47:I48"/>
    <mergeCell ref="J43:J44"/>
    <mergeCell ref="K43:K44"/>
    <mergeCell ref="K41:K42"/>
    <mergeCell ref="J39:J40"/>
    <mergeCell ref="K39:K40"/>
    <mergeCell ref="I41:I42"/>
    <mergeCell ref="J37:J38"/>
    <mergeCell ref="K37:K38"/>
    <mergeCell ref="L4:L5"/>
    <mergeCell ref="L33:L34"/>
    <mergeCell ref="L52:L53"/>
    <mergeCell ref="L57:L58"/>
    <mergeCell ref="L28:L29"/>
    <mergeCell ref="L76:L77"/>
    <mergeCell ref="C76:C77"/>
    <mergeCell ref="E76:E77"/>
    <mergeCell ref="F76:F77"/>
    <mergeCell ref="K71:K72"/>
    <mergeCell ref="G52:G53"/>
    <mergeCell ref="H52:H53"/>
    <mergeCell ref="I52:I53"/>
    <mergeCell ref="G76:G77"/>
    <mergeCell ref="H76:H77"/>
    <mergeCell ref="I76:I77"/>
    <mergeCell ref="J76:J77"/>
    <mergeCell ref="K76:K77"/>
    <mergeCell ref="D71:D72"/>
    <mergeCell ref="D73:D74"/>
    <mergeCell ref="D76:D77"/>
    <mergeCell ref="J52:J53"/>
    <mergeCell ref="K52:K53"/>
    <mergeCell ref="D57:D58"/>
  </mergeCells>
  <hyperlinks>
    <hyperlink ref="D83" r:id="rId1" xr:uid="{00000000-0004-0000-0A00-000000000000}"/>
  </hyperlinks>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8"/>
  </sheetPr>
  <dimension ref="A1:O77"/>
  <sheetViews>
    <sheetView workbookViewId="0">
      <selection activeCell="E24" sqref="E24"/>
    </sheetView>
  </sheetViews>
  <sheetFormatPr defaultColWidth="11" defaultRowHeight="15.75"/>
  <cols>
    <col min="1" max="1" width="10.75" style="329"/>
    <col min="2" max="2" width="11" style="250"/>
    <col min="3" max="3" width="30.75" style="250" customWidth="1"/>
    <col min="4" max="4" width="21.5" style="250" customWidth="1"/>
    <col min="5" max="5" width="31.25" style="250" bestFit="1" customWidth="1"/>
    <col min="6" max="6" width="19" style="250" customWidth="1"/>
    <col min="7" max="7" width="26.25" style="250" customWidth="1"/>
    <col min="8" max="8" width="28.5" style="250" customWidth="1"/>
    <col min="9" max="9" width="22.25" style="250" customWidth="1"/>
    <col min="10" max="11" width="31.25" style="250" customWidth="1"/>
    <col min="12" max="13" width="16.75" style="250" customWidth="1"/>
    <col min="14" max="14" width="18.75" style="250" customWidth="1"/>
    <col min="15" max="15" width="25.25" style="250" bestFit="1" customWidth="1"/>
    <col min="16" max="16384" width="11" style="250"/>
  </cols>
  <sheetData>
    <row r="1" spans="1:15">
      <c r="A1" s="329" t="s">
        <v>588</v>
      </c>
    </row>
    <row r="2" spans="1:15" ht="31.5">
      <c r="B2" s="345"/>
      <c r="C2" s="329" t="s">
        <v>419</v>
      </c>
      <c r="D2" s="329" t="s">
        <v>589</v>
      </c>
      <c r="E2" s="329" t="s">
        <v>589</v>
      </c>
      <c r="F2" s="329" t="s">
        <v>420</v>
      </c>
      <c r="G2" s="329" t="s">
        <v>881</v>
      </c>
      <c r="H2" s="329" t="s">
        <v>882</v>
      </c>
      <c r="I2" s="329" t="s">
        <v>883</v>
      </c>
      <c r="J2" s="342" t="s">
        <v>590</v>
      </c>
      <c r="K2" s="342" t="s">
        <v>591</v>
      </c>
      <c r="L2" s="329" t="s">
        <v>592</v>
      </c>
      <c r="M2" s="329" t="s">
        <v>593</v>
      </c>
      <c r="N2" s="342" t="s">
        <v>884</v>
      </c>
      <c r="O2" s="329" t="s">
        <v>437</v>
      </c>
    </row>
    <row r="3" spans="1:15" s="288" customFormat="1" ht="16.149999999999999" customHeight="1">
      <c r="A3" s="329"/>
      <c r="B3" s="288">
        <v>1</v>
      </c>
      <c r="C3" s="288" t="s">
        <v>594</v>
      </c>
      <c r="D3" s="288" t="s">
        <v>11</v>
      </c>
      <c r="E3" s="288" t="s">
        <v>12</v>
      </c>
      <c r="F3" s="288" t="s">
        <v>595</v>
      </c>
      <c r="G3" s="288">
        <v>90</v>
      </c>
      <c r="H3" s="338">
        <v>16</v>
      </c>
      <c r="I3" s="288">
        <v>16.7</v>
      </c>
      <c r="J3" s="350">
        <v>17686</v>
      </c>
      <c r="K3" s="350">
        <f>J3/G3</f>
        <v>196.51111111111112</v>
      </c>
      <c r="L3" s="350">
        <v>0</v>
      </c>
      <c r="M3" s="350">
        <f t="shared" ref="M3:M21" si="0">J3*21%</f>
        <v>3714.06</v>
      </c>
      <c r="N3" s="351">
        <f t="shared" ref="N3:N21" si="1">J3+L3+M3</f>
        <v>21400.06</v>
      </c>
      <c r="O3" s="288" t="s">
        <v>11</v>
      </c>
    </row>
    <row r="4" spans="1:15" ht="16.899999999999999" customHeight="1">
      <c r="B4" s="250">
        <v>2</v>
      </c>
      <c r="C4" s="250" t="s">
        <v>596</v>
      </c>
      <c r="D4" s="250" t="s">
        <v>11</v>
      </c>
      <c r="E4" s="250" t="s">
        <v>12</v>
      </c>
      <c r="F4" s="250" t="s">
        <v>595</v>
      </c>
      <c r="G4" s="250">
        <v>105</v>
      </c>
      <c r="H4" s="317">
        <v>20</v>
      </c>
      <c r="I4" s="250">
        <v>17.8</v>
      </c>
      <c r="J4" s="267">
        <v>22140</v>
      </c>
      <c r="K4" s="267">
        <f t="shared" ref="K4:K21" si="2">J4/G4</f>
        <v>210.85714285714286</v>
      </c>
      <c r="L4" s="267">
        <v>0</v>
      </c>
      <c r="M4" s="267">
        <f t="shared" si="0"/>
        <v>4649.3999999999996</v>
      </c>
      <c r="N4" s="343">
        <f t="shared" si="1"/>
        <v>26789.4</v>
      </c>
      <c r="O4" s="250" t="s">
        <v>11</v>
      </c>
    </row>
    <row r="5" spans="1:15" ht="16.899999999999999" customHeight="1">
      <c r="B5" s="250">
        <v>3</v>
      </c>
      <c r="C5" s="250" t="s">
        <v>597</v>
      </c>
      <c r="D5" s="250" t="s">
        <v>11</v>
      </c>
      <c r="E5" s="250" t="s">
        <v>12</v>
      </c>
      <c r="F5" s="250" t="s">
        <v>595</v>
      </c>
      <c r="G5" s="250">
        <v>90</v>
      </c>
      <c r="H5" s="317">
        <v>16</v>
      </c>
      <c r="I5" s="250">
        <v>16.7</v>
      </c>
      <c r="J5" s="267">
        <v>21479</v>
      </c>
      <c r="K5" s="267">
        <f t="shared" si="2"/>
        <v>238.65555555555557</v>
      </c>
      <c r="L5" s="267">
        <v>0</v>
      </c>
      <c r="M5" s="267">
        <f t="shared" si="0"/>
        <v>4510.59</v>
      </c>
      <c r="N5" s="343">
        <f t="shared" si="1"/>
        <v>25989.59</v>
      </c>
      <c r="O5" s="250" t="s">
        <v>11</v>
      </c>
    </row>
    <row r="6" spans="1:15">
      <c r="B6" s="250">
        <v>4</v>
      </c>
      <c r="C6" s="250" t="s">
        <v>598</v>
      </c>
      <c r="D6" s="250" t="s">
        <v>11</v>
      </c>
      <c r="E6" s="250" t="s">
        <v>12</v>
      </c>
      <c r="F6" s="250" t="s">
        <v>595</v>
      </c>
      <c r="G6" s="250">
        <v>90</v>
      </c>
      <c r="H6" s="317">
        <v>16</v>
      </c>
      <c r="I6" s="317">
        <v>16.7</v>
      </c>
      <c r="J6" s="267">
        <v>17686</v>
      </c>
      <c r="K6" s="267">
        <f t="shared" si="2"/>
        <v>196.51111111111112</v>
      </c>
      <c r="L6" s="267">
        <v>0</v>
      </c>
      <c r="M6" s="267">
        <f t="shared" si="0"/>
        <v>3714.06</v>
      </c>
      <c r="N6" s="343">
        <f t="shared" si="1"/>
        <v>21400.06</v>
      </c>
      <c r="O6" s="250" t="s">
        <v>11</v>
      </c>
    </row>
    <row r="7" spans="1:15">
      <c r="B7" s="250">
        <v>5</v>
      </c>
      <c r="C7" s="250" t="s">
        <v>599</v>
      </c>
      <c r="D7" s="250" t="s">
        <v>16</v>
      </c>
      <c r="E7" s="250" t="s">
        <v>17</v>
      </c>
      <c r="F7" s="250" t="s">
        <v>595</v>
      </c>
      <c r="G7" s="250">
        <v>175</v>
      </c>
      <c r="H7" s="317">
        <v>33</v>
      </c>
      <c r="I7" s="250">
        <v>17.100000000000001</v>
      </c>
      <c r="J7" s="267">
        <v>27682</v>
      </c>
      <c r="K7" s="267">
        <f t="shared" si="2"/>
        <v>158.18285714285713</v>
      </c>
      <c r="L7" s="267">
        <v>0</v>
      </c>
      <c r="M7" s="267">
        <f t="shared" si="0"/>
        <v>5813.2199999999993</v>
      </c>
      <c r="N7" s="343">
        <f t="shared" si="1"/>
        <v>33495.22</v>
      </c>
      <c r="O7" s="250" t="s">
        <v>11</v>
      </c>
    </row>
    <row r="8" spans="1:15" s="288" customFormat="1">
      <c r="A8" s="329"/>
      <c r="B8" s="288">
        <v>6</v>
      </c>
      <c r="C8" s="288" t="s">
        <v>600</v>
      </c>
      <c r="D8" s="288" t="s">
        <v>16</v>
      </c>
      <c r="E8" s="288" t="s">
        <v>17</v>
      </c>
      <c r="F8" s="250" t="s">
        <v>595</v>
      </c>
      <c r="G8" s="288">
        <v>250</v>
      </c>
      <c r="H8" s="338">
        <v>41</v>
      </c>
      <c r="I8" s="288">
        <v>13.3</v>
      </c>
      <c r="J8" s="350">
        <v>28430</v>
      </c>
      <c r="K8" s="267">
        <f t="shared" si="2"/>
        <v>113.72</v>
      </c>
      <c r="L8" s="350">
        <v>0</v>
      </c>
      <c r="M8" s="350">
        <f t="shared" si="0"/>
        <v>5970.3</v>
      </c>
      <c r="N8" s="351">
        <f t="shared" si="1"/>
        <v>34400.300000000003</v>
      </c>
      <c r="O8" s="288" t="s">
        <v>11</v>
      </c>
    </row>
    <row r="9" spans="1:15">
      <c r="B9" s="250">
        <v>7</v>
      </c>
      <c r="C9" s="250" t="s">
        <v>601</v>
      </c>
      <c r="D9" s="250" t="s">
        <v>19</v>
      </c>
      <c r="E9" s="250" t="s">
        <v>20</v>
      </c>
      <c r="F9" s="250" t="s">
        <v>595</v>
      </c>
      <c r="G9" s="250">
        <v>170</v>
      </c>
      <c r="H9" s="317">
        <v>33.200000000000003</v>
      </c>
      <c r="I9" s="317">
        <v>16</v>
      </c>
      <c r="J9" s="267">
        <v>31322</v>
      </c>
      <c r="K9" s="267">
        <f t="shared" si="2"/>
        <v>184.24705882352941</v>
      </c>
      <c r="L9" s="267">
        <v>0</v>
      </c>
      <c r="M9" s="267">
        <f t="shared" si="0"/>
        <v>6577.62</v>
      </c>
      <c r="N9" s="343">
        <f t="shared" si="1"/>
        <v>37899.620000000003</v>
      </c>
      <c r="O9" s="250" t="s">
        <v>11</v>
      </c>
    </row>
    <row r="10" spans="1:15" s="288" customFormat="1">
      <c r="A10" s="329"/>
      <c r="B10" s="288">
        <v>8</v>
      </c>
      <c r="C10" s="288" t="s">
        <v>258</v>
      </c>
      <c r="D10" s="288" t="s">
        <v>19</v>
      </c>
      <c r="E10" s="250" t="s">
        <v>20</v>
      </c>
      <c r="F10" s="250" t="s">
        <v>595</v>
      </c>
      <c r="G10" s="288">
        <v>195</v>
      </c>
      <c r="H10" s="338">
        <v>30.5</v>
      </c>
      <c r="I10" s="288">
        <v>14.4</v>
      </c>
      <c r="J10" s="350">
        <v>26731</v>
      </c>
      <c r="K10" s="267">
        <f t="shared" si="2"/>
        <v>137.08205128205128</v>
      </c>
      <c r="L10" s="350">
        <v>0</v>
      </c>
      <c r="M10" s="350">
        <f t="shared" si="0"/>
        <v>5613.51</v>
      </c>
      <c r="N10" s="351">
        <f t="shared" si="1"/>
        <v>32344.510000000002</v>
      </c>
      <c r="O10" s="288" t="s">
        <v>11</v>
      </c>
    </row>
    <row r="11" spans="1:15" ht="16.899999999999999" customHeight="1">
      <c r="B11" s="250">
        <v>9</v>
      </c>
      <c r="C11" s="250" t="s">
        <v>602</v>
      </c>
      <c r="D11" s="250" t="s">
        <v>19</v>
      </c>
      <c r="E11" s="250" t="s">
        <v>20</v>
      </c>
      <c r="F11" s="250" t="s">
        <v>595</v>
      </c>
      <c r="G11" s="250">
        <v>200</v>
      </c>
      <c r="H11" s="317">
        <v>35.799999999999997</v>
      </c>
      <c r="I11" s="317">
        <v>16</v>
      </c>
      <c r="J11" s="267">
        <v>31322</v>
      </c>
      <c r="K11" s="267">
        <f t="shared" si="2"/>
        <v>156.61000000000001</v>
      </c>
      <c r="L11" s="267">
        <v>0</v>
      </c>
      <c r="M11" s="267">
        <f t="shared" si="0"/>
        <v>6577.62</v>
      </c>
      <c r="N11" s="343">
        <f t="shared" si="1"/>
        <v>37899.620000000003</v>
      </c>
      <c r="O11" s="250" t="s">
        <v>11</v>
      </c>
    </row>
    <row r="12" spans="1:15" s="288" customFormat="1">
      <c r="A12" s="329"/>
      <c r="B12" s="288">
        <v>10</v>
      </c>
      <c r="C12" s="288" t="s">
        <v>603</v>
      </c>
      <c r="D12" s="288" t="s">
        <v>19</v>
      </c>
      <c r="E12" s="250" t="s">
        <v>20</v>
      </c>
      <c r="F12" s="250" t="s">
        <v>595</v>
      </c>
      <c r="G12" s="288">
        <v>240</v>
      </c>
      <c r="H12" s="338">
        <v>40</v>
      </c>
      <c r="I12" s="288">
        <v>15.8</v>
      </c>
      <c r="J12" s="350">
        <v>27388</v>
      </c>
      <c r="K12" s="267">
        <f t="shared" si="2"/>
        <v>114.11666666666666</v>
      </c>
      <c r="L12" s="350">
        <v>0</v>
      </c>
      <c r="M12" s="350">
        <f t="shared" si="0"/>
        <v>5751.48</v>
      </c>
      <c r="N12" s="351">
        <f t="shared" si="1"/>
        <v>33139.479999999996</v>
      </c>
      <c r="O12" s="288" t="s">
        <v>11</v>
      </c>
    </row>
    <row r="13" spans="1:15" ht="16.899999999999999" customHeight="1">
      <c r="B13" s="250">
        <v>11</v>
      </c>
      <c r="C13" s="250" t="s">
        <v>604</v>
      </c>
      <c r="D13" s="250" t="s">
        <v>19</v>
      </c>
      <c r="E13" s="250" t="s">
        <v>20</v>
      </c>
      <c r="F13" s="250" t="s">
        <v>595</v>
      </c>
      <c r="G13" s="250">
        <v>345</v>
      </c>
      <c r="H13" s="317">
        <v>60</v>
      </c>
      <c r="I13" s="250">
        <v>16.8</v>
      </c>
      <c r="J13" s="267">
        <v>37644</v>
      </c>
      <c r="K13" s="267">
        <f t="shared" si="2"/>
        <v>109.11304347826086</v>
      </c>
      <c r="L13" s="267">
        <v>0</v>
      </c>
      <c r="M13" s="267">
        <f t="shared" si="0"/>
        <v>7905.24</v>
      </c>
      <c r="N13" s="343">
        <f t="shared" si="1"/>
        <v>45549.24</v>
      </c>
      <c r="O13" s="250" t="s">
        <v>11</v>
      </c>
    </row>
    <row r="14" spans="1:15" ht="16.899999999999999" customHeight="1">
      <c r="C14" s="288" t="s">
        <v>605</v>
      </c>
      <c r="D14" s="250" t="s">
        <v>22</v>
      </c>
      <c r="E14" s="250" t="s">
        <v>23</v>
      </c>
      <c r="F14" s="250" t="s">
        <v>595</v>
      </c>
      <c r="K14" s="267"/>
      <c r="L14" s="267"/>
      <c r="M14" s="267"/>
      <c r="N14" s="343"/>
    </row>
    <row r="15" spans="1:15" s="288" customFormat="1" ht="47.25">
      <c r="A15" s="329"/>
      <c r="B15" s="288">
        <v>12</v>
      </c>
      <c r="C15" s="288" t="s">
        <v>606</v>
      </c>
      <c r="D15" s="288" t="s">
        <v>607</v>
      </c>
      <c r="E15" s="296" t="s">
        <v>608</v>
      </c>
      <c r="F15" s="250" t="s">
        <v>595</v>
      </c>
      <c r="G15" s="288">
        <v>390</v>
      </c>
      <c r="H15" s="338">
        <v>75</v>
      </c>
      <c r="I15" s="288">
        <v>18.600000000000001</v>
      </c>
      <c r="J15" s="350">
        <v>71157</v>
      </c>
      <c r="K15" s="350">
        <f t="shared" si="2"/>
        <v>182.45384615384614</v>
      </c>
      <c r="L15" s="350">
        <v>0</v>
      </c>
      <c r="M15" s="350">
        <f t="shared" si="0"/>
        <v>14942.97</v>
      </c>
      <c r="N15" s="351">
        <f t="shared" si="1"/>
        <v>86099.97</v>
      </c>
      <c r="O15" s="288" t="s">
        <v>11</v>
      </c>
    </row>
    <row r="16" spans="1:15" ht="47.25">
      <c r="B16" s="250">
        <v>13</v>
      </c>
      <c r="C16" s="250" t="s">
        <v>609</v>
      </c>
      <c r="D16" s="250" t="s">
        <v>607</v>
      </c>
      <c r="E16" s="296" t="s">
        <v>610</v>
      </c>
      <c r="F16" s="250" t="s">
        <v>595</v>
      </c>
      <c r="G16" s="250">
        <v>500</v>
      </c>
      <c r="H16" s="317">
        <v>100</v>
      </c>
      <c r="I16" s="250">
        <v>18.8</v>
      </c>
      <c r="J16" s="267">
        <v>90207</v>
      </c>
      <c r="K16" s="267">
        <f t="shared" si="2"/>
        <v>180.41399999999999</v>
      </c>
      <c r="L16" s="267">
        <v>0</v>
      </c>
      <c r="M16" s="267">
        <f t="shared" si="0"/>
        <v>18943.469999999998</v>
      </c>
      <c r="N16" s="343">
        <f t="shared" si="1"/>
        <v>109150.47</v>
      </c>
      <c r="O16" s="250" t="s">
        <v>11</v>
      </c>
    </row>
    <row r="17" spans="1:15">
      <c r="C17" s="288" t="s">
        <v>605</v>
      </c>
      <c r="D17" s="250" t="s">
        <v>236</v>
      </c>
      <c r="E17" s="296" t="s">
        <v>416</v>
      </c>
      <c r="F17" s="250" t="s">
        <v>595</v>
      </c>
      <c r="H17" s="317"/>
      <c r="J17" s="267"/>
      <c r="K17" s="267"/>
      <c r="L17" s="267"/>
      <c r="M17" s="267"/>
      <c r="N17" s="343"/>
    </row>
    <row r="18" spans="1:15" s="288" customFormat="1" ht="16.899999999999999" customHeight="1">
      <c r="A18" s="329"/>
      <c r="B18" s="288">
        <v>14</v>
      </c>
      <c r="C18" s="288" t="s">
        <v>611</v>
      </c>
      <c r="D18" s="288" t="s">
        <v>33</v>
      </c>
      <c r="E18" s="288" t="s">
        <v>34</v>
      </c>
      <c r="F18" s="288" t="s">
        <v>595</v>
      </c>
      <c r="G18" s="288">
        <v>400</v>
      </c>
      <c r="H18" s="338">
        <v>67</v>
      </c>
      <c r="I18" s="338">
        <v>16</v>
      </c>
      <c r="J18" s="350">
        <v>31665</v>
      </c>
      <c r="K18" s="350">
        <f>J18/G18</f>
        <v>79.162499999999994</v>
      </c>
      <c r="L18" s="350">
        <v>0</v>
      </c>
      <c r="M18" s="350">
        <f>J18*21%</f>
        <v>6649.65</v>
      </c>
      <c r="N18" s="351">
        <f>J18+L18+M18</f>
        <v>38314.65</v>
      </c>
      <c r="O18" s="288" t="s">
        <v>11</v>
      </c>
    </row>
    <row r="19" spans="1:15">
      <c r="A19" s="346"/>
      <c r="B19" s="250">
        <v>15</v>
      </c>
      <c r="C19" s="250" t="s">
        <v>612</v>
      </c>
      <c r="D19" s="250" t="s">
        <v>37</v>
      </c>
      <c r="E19" s="250" t="s">
        <v>38</v>
      </c>
      <c r="F19" s="250" t="s">
        <v>595</v>
      </c>
      <c r="G19" s="250">
        <v>330</v>
      </c>
      <c r="H19" s="317">
        <v>75</v>
      </c>
      <c r="I19" s="317">
        <v>22</v>
      </c>
      <c r="J19" s="267">
        <v>76736</v>
      </c>
      <c r="K19" s="267">
        <f t="shared" si="2"/>
        <v>232.53333333333333</v>
      </c>
      <c r="L19" s="267">
        <v>0</v>
      </c>
      <c r="M19" s="267">
        <f t="shared" si="0"/>
        <v>16114.56</v>
      </c>
      <c r="N19" s="343">
        <f t="shared" si="1"/>
        <v>92850.559999999998</v>
      </c>
      <c r="O19" s="250" t="s">
        <v>11</v>
      </c>
    </row>
    <row r="20" spans="1:15" ht="18" customHeight="1">
      <c r="B20" s="250">
        <v>16</v>
      </c>
      <c r="C20" s="250" t="s">
        <v>613</v>
      </c>
      <c r="D20" s="250" t="s">
        <v>37</v>
      </c>
      <c r="E20" s="250" t="s">
        <v>38</v>
      </c>
      <c r="F20" s="250" t="s">
        <v>595</v>
      </c>
      <c r="G20" s="250">
        <v>420</v>
      </c>
      <c r="H20" s="317">
        <v>100</v>
      </c>
      <c r="I20" s="317">
        <v>22.4</v>
      </c>
      <c r="J20" s="267">
        <v>92975</v>
      </c>
      <c r="K20" s="267">
        <f t="shared" si="2"/>
        <v>221.36904761904762</v>
      </c>
      <c r="L20" s="267">
        <v>0</v>
      </c>
      <c r="M20" s="267">
        <f t="shared" si="0"/>
        <v>19524.75</v>
      </c>
      <c r="N20" s="343">
        <f t="shared" si="1"/>
        <v>112499.75</v>
      </c>
      <c r="O20" s="250" t="s">
        <v>11</v>
      </c>
    </row>
    <row r="21" spans="1:15" s="288" customFormat="1">
      <c r="A21" s="329"/>
      <c r="B21" s="288">
        <v>17</v>
      </c>
      <c r="C21" s="288" t="s">
        <v>263</v>
      </c>
      <c r="D21" s="288" t="s">
        <v>37</v>
      </c>
      <c r="E21" s="288" t="s">
        <v>38</v>
      </c>
      <c r="F21" s="288" t="s">
        <v>595</v>
      </c>
      <c r="G21" s="288">
        <v>400</v>
      </c>
      <c r="H21" s="288">
        <v>90</v>
      </c>
      <c r="I21" s="288">
        <v>21.3</v>
      </c>
      <c r="J21" s="350">
        <v>65438</v>
      </c>
      <c r="K21" s="350">
        <f t="shared" si="2"/>
        <v>163.595</v>
      </c>
      <c r="L21" s="350">
        <v>0</v>
      </c>
      <c r="M21" s="350">
        <f t="shared" si="0"/>
        <v>13741.98</v>
      </c>
      <c r="N21" s="351">
        <f t="shared" si="1"/>
        <v>79179.98</v>
      </c>
      <c r="O21" s="288" t="s">
        <v>11</v>
      </c>
    </row>
    <row r="22" spans="1:15">
      <c r="B22" s="250">
        <v>18</v>
      </c>
    </row>
    <row r="23" spans="1:15" ht="16.899999999999999" customHeight="1">
      <c r="C23" s="250" t="s">
        <v>614</v>
      </c>
    </row>
    <row r="25" spans="1:15">
      <c r="C25" s="288" t="s">
        <v>409</v>
      </c>
      <c r="D25" s="288" t="s">
        <v>410</v>
      </c>
      <c r="E25" s="288"/>
      <c r="F25" s="288" t="s">
        <v>411</v>
      </c>
      <c r="I25" s="288" t="s">
        <v>412</v>
      </c>
      <c r="J25" s="288"/>
      <c r="K25" s="288"/>
    </row>
    <row r="26" spans="1:15">
      <c r="C26" s="288"/>
      <c r="D26" s="288"/>
      <c r="E26" s="288"/>
      <c r="F26" s="288"/>
      <c r="J26" s="288"/>
      <c r="K26" s="288"/>
    </row>
    <row r="27" spans="1:15">
      <c r="C27" s="250" t="s">
        <v>11</v>
      </c>
      <c r="D27" s="250" t="s">
        <v>12</v>
      </c>
      <c r="F27" s="250" t="s">
        <v>413</v>
      </c>
      <c r="I27" s="250" t="s">
        <v>15</v>
      </c>
    </row>
    <row r="28" spans="1:15">
      <c r="C28" s="250" t="s">
        <v>16</v>
      </c>
      <c r="D28" s="250" t="s">
        <v>17</v>
      </c>
      <c r="F28" s="250" t="s">
        <v>18</v>
      </c>
      <c r="I28" s="250" t="s">
        <v>615</v>
      </c>
    </row>
    <row r="29" spans="1:15">
      <c r="C29" s="250" t="s">
        <v>19</v>
      </c>
      <c r="D29" s="250" t="s">
        <v>20</v>
      </c>
      <c r="F29" s="250" t="s">
        <v>21</v>
      </c>
      <c r="I29" s="250" t="s">
        <v>415</v>
      </c>
    </row>
    <row r="30" spans="1:15">
      <c r="C30" s="250" t="s">
        <v>22</v>
      </c>
      <c r="D30" s="250" t="s">
        <v>23</v>
      </c>
      <c r="F30" s="250" t="s">
        <v>24</v>
      </c>
    </row>
    <row r="31" spans="1:15">
      <c r="C31" s="250" t="s">
        <v>26</v>
      </c>
      <c r="D31" s="250" t="s">
        <v>27</v>
      </c>
      <c r="F31" s="250" t="s">
        <v>28</v>
      </c>
      <c r="I31" s="250" t="s">
        <v>29</v>
      </c>
    </row>
    <row r="32" spans="1:15" ht="18" customHeight="1">
      <c r="C32" s="250" t="s">
        <v>30</v>
      </c>
      <c r="D32" s="250" t="s">
        <v>31</v>
      </c>
      <c r="F32" s="250" t="s">
        <v>32</v>
      </c>
      <c r="I32" s="250" t="s">
        <v>29</v>
      </c>
    </row>
    <row r="33" spans="1:14">
      <c r="C33" s="250" t="s">
        <v>236</v>
      </c>
      <c r="D33" s="250" t="s">
        <v>416</v>
      </c>
      <c r="F33" s="250" t="s">
        <v>417</v>
      </c>
    </row>
    <row r="34" spans="1:14">
      <c r="C34" s="250" t="s">
        <v>33</v>
      </c>
      <c r="D34" s="250" t="s">
        <v>34</v>
      </c>
      <c r="F34" s="250" t="s">
        <v>35</v>
      </c>
      <c r="I34" s="250" t="s">
        <v>36</v>
      </c>
    </row>
    <row r="35" spans="1:14">
      <c r="C35" s="250" t="s">
        <v>37</v>
      </c>
      <c r="D35" s="250" t="s">
        <v>38</v>
      </c>
      <c r="F35" s="250" t="s">
        <v>39</v>
      </c>
      <c r="I35" s="250" t="s">
        <v>40</v>
      </c>
    </row>
    <row r="37" spans="1:14" ht="16.899999999999999" customHeight="1">
      <c r="A37" s="329" t="s">
        <v>66</v>
      </c>
    </row>
    <row r="38" spans="1:14">
      <c r="A38" s="344" t="s">
        <v>527</v>
      </c>
      <c r="B38" s="250" t="s">
        <v>616</v>
      </c>
      <c r="D38" s="295" t="s">
        <v>103</v>
      </c>
      <c r="E38" s="295"/>
    </row>
    <row r="39" spans="1:14">
      <c r="A39" s="344" t="s">
        <v>529</v>
      </c>
      <c r="B39" s="250" t="s">
        <v>534</v>
      </c>
      <c r="D39" s="295" t="s">
        <v>535</v>
      </c>
      <c r="E39" s="295"/>
    </row>
    <row r="40" spans="1:14">
      <c r="A40" s="344" t="s">
        <v>530</v>
      </c>
      <c r="B40" s="250" t="s">
        <v>617</v>
      </c>
      <c r="D40" s="295" t="s">
        <v>148</v>
      </c>
      <c r="E40" s="295"/>
    </row>
    <row r="42" spans="1:14">
      <c r="A42" s="329" t="s">
        <v>880</v>
      </c>
    </row>
    <row r="43" spans="1:14">
      <c r="B43" s="288"/>
    </row>
    <row r="45" spans="1:14">
      <c r="A45" s="329" t="s">
        <v>618</v>
      </c>
      <c r="C45" s="250" t="s">
        <v>619</v>
      </c>
    </row>
    <row r="46" spans="1:14" ht="46.15" customHeight="1">
      <c r="C46" s="329" t="s">
        <v>419</v>
      </c>
      <c r="D46" s="329" t="s">
        <v>163</v>
      </c>
      <c r="E46" s="342" t="s">
        <v>620</v>
      </c>
      <c r="F46" s="329" t="s">
        <v>420</v>
      </c>
      <c r="G46" s="329" t="s">
        <v>885</v>
      </c>
      <c r="H46" s="329" t="s">
        <v>882</v>
      </c>
      <c r="I46" s="329" t="s">
        <v>886</v>
      </c>
      <c r="J46" s="342" t="s">
        <v>621</v>
      </c>
      <c r="K46" s="342" t="s">
        <v>591</v>
      </c>
      <c r="L46" s="329" t="s">
        <v>592</v>
      </c>
      <c r="M46" s="329" t="s">
        <v>593</v>
      </c>
      <c r="N46" s="342" t="s">
        <v>884</v>
      </c>
    </row>
    <row r="47" spans="1:14">
      <c r="B47" s="250">
        <v>1</v>
      </c>
      <c r="C47" s="250" t="s">
        <v>622</v>
      </c>
      <c r="D47" s="250" t="s">
        <v>623</v>
      </c>
      <c r="E47" s="256" t="s">
        <v>624</v>
      </c>
      <c r="F47" s="250" t="s">
        <v>595</v>
      </c>
      <c r="G47" s="250">
        <v>110</v>
      </c>
      <c r="H47" s="250">
        <v>22.5</v>
      </c>
      <c r="I47" s="250">
        <v>18.600000000000001</v>
      </c>
      <c r="J47" s="267">
        <v>26653</v>
      </c>
      <c r="K47" s="343">
        <f>J47/G47</f>
        <v>242.3</v>
      </c>
      <c r="L47" s="311">
        <v>0</v>
      </c>
      <c r="M47" s="343">
        <f>21%*J47</f>
        <v>5597.13</v>
      </c>
      <c r="N47" s="343">
        <f>J47+L47+M47</f>
        <v>32250.13</v>
      </c>
    </row>
    <row r="48" spans="1:14" s="288" customFormat="1">
      <c r="A48" s="329"/>
      <c r="B48" s="288">
        <v>2</v>
      </c>
      <c r="C48" s="288" t="s">
        <v>625</v>
      </c>
      <c r="D48" s="288" t="s">
        <v>623</v>
      </c>
      <c r="E48" s="307" t="s">
        <v>626</v>
      </c>
      <c r="F48" s="288" t="s">
        <v>595</v>
      </c>
      <c r="G48" s="288">
        <v>165</v>
      </c>
      <c r="H48" s="338">
        <v>33</v>
      </c>
      <c r="I48" s="288">
        <v>18.8</v>
      </c>
      <c r="J48" s="351">
        <f>N48-M48</f>
        <v>30994.214876033056</v>
      </c>
      <c r="K48" s="351">
        <f>J48/G48</f>
        <v>187.84372652141246</v>
      </c>
      <c r="L48" s="352">
        <v>0</v>
      </c>
      <c r="M48" s="343">
        <f>(21%*N48)/121%</f>
        <v>6508.7851239669426</v>
      </c>
      <c r="N48" s="351">
        <v>37503</v>
      </c>
    </row>
    <row r="49" spans="1:14">
      <c r="B49" s="250">
        <v>4</v>
      </c>
      <c r="C49" s="250" t="s">
        <v>627</v>
      </c>
      <c r="D49" s="250" t="s">
        <v>623</v>
      </c>
      <c r="E49" s="256" t="s">
        <v>628</v>
      </c>
      <c r="F49" s="250" t="s">
        <v>595</v>
      </c>
      <c r="G49" s="250">
        <v>190</v>
      </c>
      <c r="H49" s="250">
        <v>40</v>
      </c>
      <c r="I49" s="317">
        <v>20</v>
      </c>
      <c r="J49" s="343">
        <f>N49-M49</f>
        <v>34648.760330578516</v>
      </c>
      <c r="K49" s="343">
        <f>J49/G49</f>
        <v>182.36189647672904</v>
      </c>
      <c r="L49" s="311">
        <v>0</v>
      </c>
      <c r="M49" s="343">
        <f>(21%*N49)/121%</f>
        <v>7276.2396694214876</v>
      </c>
      <c r="N49" s="343">
        <v>41925</v>
      </c>
    </row>
    <row r="50" spans="1:14">
      <c r="B50" s="250">
        <v>5</v>
      </c>
      <c r="C50" s="250" t="s">
        <v>629</v>
      </c>
      <c r="D50" s="250" t="s">
        <v>623</v>
      </c>
      <c r="E50" s="256" t="s">
        <v>630</v>
      </c>
      <c r="F50" s="250" t="s">
        <v>595</v>
      </c>
      <c r="G50" s="250">
        <v>110</v>
      </c>
      <c r="H50" s="250">
        <v>22.5</v>
      </c>
      <c r="I50" s="250">
        <v>18.600000000000001</v>
      </c>
      <c r="J50" s="343">
        <f>N50-M50</f>
        <v>25404.958677685951</v>
      </c>
      <c r="K50" s="343">
        <f>J50/G50</f>
        <v>230.954169797145</v>
      </c>
      <c r="L50" s="311">
        <v>0</v>
      </c>
      <c r="M50" s="343">
        <f>(21%*N50)/121%</f>
        <v>5335.0413223140495</v>
      </c>
      <c r="N50" s="343">
        <v>30740</v>
      </c>
    </row>
    <row r="51" spans="1:14">
      <c r="B51" s="250">
        <v>6</v>
      </c>
      <c r="C51" s="250" t="s">
        <v>887</v>
      </c>
      <c r="D51" s="250" t="s">
        <v>631</v>
      </c>
      <c r="E51" s="256" t="s">
        <v>632</v>
      </c>
      <c r="F51" s="250" t="s">
        <v>595</v>
      </c>
      <c r="G51" s="353">
        <f>160*(100%+F72)</f>
        <v>86.497126601370837</v>
      </c>
      <c r="H51" s="250">
        <v>43</v>
      </c>
      <c r="I51" s="317">
        <f>(H51/G51)*100</f>
        <v>49.712634037161784</v>
      </c>
      <c r="J51" s="343"/>
      <c r="K51" s="343"/>
      <c r="L51" s="311">
        <v>0</v>
      </c>
      <c r="M51" s="343">
        <f>(21%*N51)/121%</f>
        <v>0</v>
      </c>
      <c r="N51" s="343"/>
    </row>
    <row r="52" spans="1:14" s="288" customFormat="1">
      <c r="A52" s="329"/>
      <c r="B52" s="288">
        <v>7</v>
      </c>
      <c r="C52" s="288" t="s">
        <v>888</v>
      </c>
      <c r="D52" s="288" t="s">
        <v>631</v>
      </c>
      <c r="E52" s="307" t="s">
        <v>633</v>
      </c>
      <c r="F52" s="288" t="s">
        <v>595</v>
      </c>
      <c r="G52" s="337">
        <f>185*(100%+F72)</f>
        <v>100.01230263283503</v>
      </c>
      <c r="H52" s="288">
        <v>33</v>
      </c>
      <c r="I52" s="338">
        <f>H52/G52*100</f>
        <v>32.995940630573756</v>
      </c>
      <c r="J52" s="351">
        <v>62900</v>
      </c>
      <c r="K52" s="351">
        <f>J52/G52</f>
        <v>628.92262595851184</v>
      </c>
      <c r="L52" s="352">
        <v>0</v>
      </c>
      <c r="M52" s="351">
        <f>21%*J52</f>
        <v>13209</v>
      </c>
      <c r="N52" s="351">
        <f>J52+L52+M52</f>
        <v>76109</v>
      </c>
    </row>
    <row r="53" spans="1:14">
      <c r="B53" s="250">
        <v>8</v>
      </c>
      <c r="C53" s="250" t="s">
        <v>889</v>
      </c>
      <c r="D53" s="250" t="s">
        <v>634</v>
      </c>
      <c r="E53" s="256" t="s">
        <v>635</v>
      </c>
      <c r="F53" s="250" t="s">
        <v>595</v>
      </c>
      <c r="G53" s="250">
        <v>150</v>
      </c>
      <c r="H53" s="250">
        <v>41.4</v>
      </c>
      <c r="I53" s="250">
        <f>(H53/G53)*100</f>
        <v>27.599999999999998</v>
      </c>
      <c r="J53" s="288" t="s">
        <v>636</v>
      </c>
    </row>
    <row r="54" spans="1:14">
      <c r="E54" s="256"/>
    </row>
    <row r="55" spans="1:14">
      <c r="C55" s="250" t="s">
        <v>637</v>
      </c>
      <c r="E55" s="256"/>
    </row>
    <row r="56" spans="1:14">
      <c r="E56" s="256"/>
    </row>
    <row r="57" spans="1:14">
      <c r="B57" s="288" t="s">
        <v>66</v>
      </c>
      <c r="E57" s="256"/>
    </row>
    <row r="58" spans="1:14">
      <c r="A58" s="344" t="s">
        <v>527</v>
      </c>
      <c r="B58" s="250" t="s">
        <v>616</v>
      </c>
      <c r="D58" s="295" t="s">
        <v>103</v>
      </c>
    </row>
    <row r="59" spans="1:14">
      <c r="A59" s="344" t="s">
        <v>529</v>
      </c>
      <c r="B59" s="250" t="s">
        <v>534</v>
      </c>
      <c r="D59" s="295" t="s">
        <v>535</v>
      </c>
    </row>
    <row r="60" spans="1:14">
      <c r="A60" s="344" t="s">
        <v>530</v>
      </c>
      <c r="B60" s="250" t="s">
        <v>638</v>
      </c>
      <c r="D60" s="295" t="s">
        <v>639</v>
      </c>
    </row>
    <row r="61" spans="1:14">
      <c r="A61" s="344" t="s">
        <v>533</v>
      </c>
      <c r="B61" s="250" t="s">
        <v>640</v>
      </c>
      <c r="E61" s="354" t="s">
        <v>641</v>
      </c>
    </row>
    <row r="62" spans="1:14">
      <c r="A62" s="344" t="s">
        <v>536</v>
      </c>
      <c r="B62" s="250" t="s">
        <v>642</v>
      </c>
      <c r="E62" s="354" t="s">
        <v>641</v>
      </c>
    </row>
    <row r="63" spans="1:14">
      <c r="A63" s="344" t="s">
        <v>538</v>
      </c>
      <c r="B63" s="250" t="s">
        <v>643</v>
      </c>
      <c r="C63" s="288"/>
      <c r="D63" s="295" t="s">
        <v>644</v>
      </c>
    </row>
    <row r="64" spans="1:14">
      <c r="C64" s="288"/>
      <c r="D64" s="295" t="s">
        <v>645</v>
      </c>
    </row>
    <row r="65" spans="2:6">
      <c r="C65" s="288"/>
      <c r="D65" s="295"/>
    </row>
    <row r="66" spans="2:6">
      <c r="B66" s="288" t="s">
        <v>646</v>
      </c>
    </row>
    <row r="67" spans="2:6">
      <c r="D67" s="307" t="s">
        <v>647</v>
      </c>
      <c r="E67" s="307" t="s">
        <v>648</v>
      </c>
      <c r="F67" s="307" t="s">
        <v>649</v>
      </c>
    </row>
    <row r="68" spans="2:6">
      <c r="B68" s="250" t="s">
        <v>650</v>
      </c>
      <c r="D68" s="256">
        <v>300</v>
      </c>
      <c r="E68" s="256">
        <v>170</v>
      </c>
      <c r="F68" s="269">
        <f>(E68-D68)/E68</f>
        <v>-0.76470588235294112</v>
      </c>
    </row>
    <row r="69" spans="2:6">
      <c r="B69" s="250" t="s">
        <v>651</v>
      </c>
      <c r="D69" s="256">
        <v>490</v>
      </c>
      <c r="E69" s="256">
        <v>390</v>
      </c>
      <c r="F69" s="269">
        <f>(E69-D69)/E69</f>
        <v>-0.25641025641025639</v>
      </c>
    </row>
    <row r="70" spans="2:6">
      <c r="B70" s="250" t="s">
        <v>652</v>
      </c>
      <c r="D70" s="256">
        <v>300</v>
      </c>
      <c r="E70" s="256">
        <v>200</v>
      </c>
      <c r="F70" s="269">
        <f t="shared" ref="F70" si="3">(E70-D70)/E70</f>
        <v>-0.5</v>
      </c>
    </row>
    <row r="71" spans="2:6">
      <c r="D71" s="256">
        <v>520</v>
      </c>
      <c r="E71" s="256">
        <v>395</v>
      </c>
      <c r="F71" s="269">
        <f>(E71-D71)/E71</f>
        <v>-0.31645569620253167</v>
      </c>
    </row>
    <row r="72" spans="2:6">
      <c r="F72" s="355">
        <f>AVERAGE(F68:F71)</f>
        <v>-0.45939295874143227</v>
      </c>
    </row>
    <row r="74" spans="2:6">
      <c r="B74" s="250" t="s">
        <v>890</v>
      </c>
    </row>
    <row r="77" spans="2:6">
      <c r="C77" s="295"/>
    </row>
  </sheetData>
  <sheetProtection algorithmName="SHA-512" hashValue="fHIqlhrtq6FbGAk5KtFyDNJoeoz3EgEGWcgSm5iMmzFM0hS5/ZW89K/ep0dTq57Bd5OdhlfMfp1U2zhgPRBbUA==" saltValue="j4SyRJT0mxMMTfE299bFlQ==" spinCount="100000" sheet="1" objects="1" scenarios="1"/>
  <hyperlinks>
    <hyperlink ref="D39" r:id="rId1" xr:uid="{00000000-0004-0000-0B00-000000000000}"/>
    <hyperlink ref="D38" r:id="rId2" xr:uid="{00000000-0004-0000-0B00-000001000000}"/>
    <hyperlink ref="D40" r:id="rId3" location="/merkentype" xr:uid="{00000000-0004-0000-0B00-000002000000}"/>
    <hyperlink ref="D58" r:id="rId4" xr:uid="{00000000-0004-0000-0B00-000003000000}"/>
    <hyperlink ref="D59" r:id="rId5" xr:uid="{00000000-0004-0000-0B00-000004000000}"/>
    <hyperlink ref="D60" r:id="rId6" xr:uid="{00000000-0004-0000-0B00-000005000000}"/>
    <hyperlink ref="D63" r:id="rId7" xr:uid="{00000000-0004-0000-0B00-000006000000}"/>
    <hyperlink ref="D64" r:id="rId8" xr:uid="{00000000-0004-0000-0B00-000007000000}"/>
  </hyperlinks>
  <pageMargins left="0.7" right="0.7" top="0.75" bottom="0.75" header="0.3" footer="0.3"/>
  <pageSetup paperSize="9" orientation="portrait" horizontalDpi="0" verticalDpi="0"/>
  <legacyDrawing r:id="rId9"/>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B00-000000000000}">
          <x14:formula1>
            <xm:f>'Input drop-down menu''s'!$A$4:$A$65</xm:f>
          </x14:formula1>
          <xm:sqref>J64:L67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8"/>
  </sheetPr>
  <dimension ref="A1:L125"/>
  <sheetViews>
    <sheetView topLeftCell="A72" workbookViewId="0">
      <selection activeCell="A72" sqref="A1:XFD1048576"/>
    </sheetView>
  </sheetViews>
  <sheetFormatPr defaultColWidth="11" defaultRowHeight="15.75"/>
  <cols>
    <col min="1" max="1" width="61.25" style="250" bestFit="1" customWidth="1"/>
    <col min="2" max="2" width="24.25" style="250" customWidth="1"/>
    <col min="3" max="3" width="8.25" style="250" bestFit="1" customWidth="1"/>
    <col min="4" max="7" width="13.25" style="250" bestFit="1" customWidth="1"/>
    <col min="8" max="8" width="16.25" style="250" customWidth="1"/>
    <col min="9" max="9" width="14.25" style="250" bestFit="1" customWidth="1"/>
    <col min="10" max="16384" width="11" style="250"/>
  </cols>
  <sheetData>
    <row r="1" spans="1:1">
      <c r="A1" s="250" t="s">
        <v>653</v>
      </c>
    </row>
    <row r="2" spans="1:1">
      <c r="A2" s="250" t="s">
        <v>654</v>
      </c>
    </row>
    <row r="3" spans="1:1">
      <c r="A3" s="250" t="s">
        <v>655</v>
      </c>
    </row>
    <row r="4" spans="1:1">
      <c r="A4" s="250" t="s">
        <v>656</v>
      </c>
    </row>
    <row r="5" spans="1:1">
      <c r="A5" s="250" t="s">
        <v>657</v>
      </c>
    </row>
    <row r="6" spans="1:1">
      <c r="A6" s="250" t="s">
        <v>658</v>
      </c>
    </row>
    <row r="8" spans="1:1">
      <c r="A8" s="250" t="s">
        <v>659</v>
      </c>
    </row>
    <row r="9" spans="1:1">
      <c r="A9" s="250" t="s">
        <v>660</v>
      </c>
    </row>
    <row r="10" spans="1:1">
      <c r="A10" s="250" t="s">
        <v>661</v>
      </c>
    </row>
    <row r="11" spans="1:1">
      <c r="A11" s="250" t="s">
        <v>662</v>
      </c>
    </row>
    <row r="12" spans="1:1">
      <c r="A12" s="250" t="s">
        <v>663</v>
      </c>
    </row>
    <row r="13" spans="1:1">
      <c r="A13" s="250" t="s">
        <v>664</v>
      </c>
    </row>
    <row r="14" spans="1:1">
      <c r="A14" s="250" t="s">
        <v>665</v>
      </c>
    </row>
    <row r="15" spans="1:1">
      <c r="A15" s="250" t="s">
        <v>666</v>
      </c>
    </row>
    <row r="16" spans="1:1">
      <c r="A16" s="250" t="s">
        <v>667</v>
      </c>
    </row>
    <row r="17" spans="1:1">
      <c r="A17" s="250" t="s">
        <v>668</v>
      </c>
    </row>
    <row r="18" spans="1:1">
      <c r="A18" s="250" t="s">
        <v>669</v>
      </c>
    </row>
    <row r="20" spans="1:1">
      <c r="A20" s="250" t="s">
        <v>670</v>
      </c>
    </row>
    <row r="21" spans="1:1">
      <c r="A21" s="250" t="s">
        <v>671</v>
      </c>
    </row>
    <row r="22" spans="1:1">
      <c r="A22" s="250" t="s">
        <v>672</v>
      </c>
    </row>
    <row r="23" spans="1:1">
      <c r="A23" s="250" t="s">
        <v>673</v>
      </c>
    </row>
    <row r="24" spans="1:1">
      <c r="A24" s="250" t="s">
        <v>674</v>
      </c>
    </row>
    <row r="25" spans="1:1">
      <c r="A25" s="250" t="s">
        <v>675</v>
      </c>
    </row>
    <row r="26" spans="1:1">
      <c r="A26" s="250" t="s">
        <v>676</v>
      </c>
    </row>
    <row r="27" spans="1:1">
      <c r="A27" s="250" t="s">
        <v>677</v>
      </c>
    </row>
    <row r="28" spans="1:1">
      <c r="A28" s="250" t="s">
        <v>678</v>
      </c>
    </row>
    <row r="29" spans="1:1">
      <c r="A29" s="250" t="s">
        <v>679</v>
      </c>
    </row>
    <row r="30" spans="1:1">
      <c r="A30" s="250" t="s">
        <v>680</v>
      </c>
    </row>
    <row r="32" spans="1:1">
      <c r="A32" s="250" t="s">
        <v>681</v>
      </c>
    </row>
    <row r="33" spans="1:9">
      <c r="A33" s="250" t="s">
        <v>682</v>
      </c>
    </row>
    <row r="34" spans="1:9">
      <c r="A34" s="250" t="s">
        <v>683</v>
      </c>
    </row>
    <row r="35" spans="1:9">
      <c r="A35" s="250" t="s">
        <v>684</v>
      </c>
    </row>
    <row r="36" spans="1:9">
      <c r="A36" s="250" t="s">
        <v>685</v>
      </c>
    </row>
    <row r="37" spans="1:9">
      <c r="A37" s="250" t="s">
        <v>686</v>
      </c>
    </row>
    <row r="38" spans="1:9">
      <c r="A38" s="250" t="s">
        <v>687</v>
      </c>
    </row>
    <row r="39" spans="1:9">
      <c r="A39" s="250" t="s">
        <v>688</v>
      </c>
    </row>
    <row r="40" spans="1:9">
      <c r="A40" s="250" t="s">
        <v>689</v>
      </c>
    </row>
    <row r="41" spans="1:9">
      <c r="A41" s="250" t="s">
        <v>690</v>
      </c>
    </row>
    <row r="42" spans="1:9">
      <c r="A42" s="250" t="s">
        <v>691</v>
      </c>
    </row>
    <row r="43" spans="1:9">
      <c r="A43" s="250" t="s">
        <v>692</v>
      </c>
    </row>
    <row r="45" spans="1:9">
      <c r="A45" s="295"/>
    </row>
    <row r="46" spans="1:9">
      <c r="A46" s="295"/>
    </row>
    <row r="48" spans="1:9" ht="18">
      <c r="A48" s="356">
        <v>2017</v>
      </c>
      <c r="B48" s="560" t="s">
        <v>693</v>
      </c>
      <c r="C48" s="560" t="s">
        <v>694</v>
      </c>
      <c r="D48" s="560" t="s">
        <v>695</v>
      </c>
      <c r="E48" s="560" t="s">
        <v>696</v>
      </c>
      <c r="F48" s="560" t="s">
        <v>697</v>
      </c>
      <c r="G48" s="560" t="s">
        <v>698</v>
      </c>
      <c r="H48" s="560" t="s">
        <v>699</v>
      </c>
      <c r="I48" s="356" t="s">
        <v>700</v>
      </c>
    </row>
    <row r="49" spans="1:9" ht="18">
      <c r="A49" s="356" t="s">
        <v>701</v>
      </c>
      <c r="B49" s="560"/>
      <c r="C49" s="560"/>
      <c r="D49" s="560"/>
      <c r="E49" s="560"/>
      <c r="F49" s="560"/>
      <c r="G49" s="560"/>
      <c r="H49" s="560"/>
      <c r="I49" s="356" t="s">
        <v>702</v>
      </c>
    </row>
    <row r="50" spans="1:9" ht="18">
      <c r="A50" s="356">
        <v>1</v>
      </c>
      <c r="B50" s="295" t="s">
        <v>703</v>
      </c>
      <c r="C50" s="295">
        <v>500</v>
      </c>
      <c r="D50" s="357">
        <v>158918</v>
      </c>
      <c r="E50" s="357">
        <v>180403</v>
      </c>
      <c r="F50" s="357">
        <v>180005</v>
      </c>
      <c r="G50" s="357">
        <v>183194</v>
      </c>
      <c r="H50" s="357">
        <v>189360</v>
      </c>
      <c r="I50" s="358" t="s">
        <v>704</v>
      </c>
    </row>
    <row r="51" spans="1:9" ht="18">
      <c r="A51" s="356">
        <v>2</v>
      </c>
      <c r="B51" s="295" t="s">
        <v>703</v>
      </c>
      <c r="C51" s="295" t="s">
        <v>705</v>
      </c>
      <c r="D51" s="357">
        <v>152727</v>
      </c>
      <c r="E51" s="357">
        <v>152045</v>
      </c>
      <c r="F51" s="357">
        <v>171377</v>
      </c>
      <c r="G51" s="357">
        <v>190432</v>
      </c>
      <c r="H51" s="357">
        <v>187049</v>
      </c>
      <c r="I51" s="358" t="s">
        <v>706</v>
      </c>
    </row>
    <row r="52" spans="1:9" ht="18">
      <c r="A52" s="356">
        <v>3</v>
      </c>
      <c r="B52" s="295" t="s">
        <v>707</v>
      </c>
      <c r="C52" s="295" t="s">
        <v>708</v>
      </c>
      <c r="D52" s="357">
        <v>130039</v>
      </c>
      <c r="E52" s="357">
        <v>124845</v>
      </c>
      <c r="F52" s="357">
        <v>105348</v>
      </c>
      <c r="G52" s="357">
        <v>96836</v>
      </c>
      <c r="H52" s="357">
        <v>100715</v>
      </c>
      <c r="I52" s="358" t="s">
        <v>709</v>
      </c>
    </row>
    <row r="53" spans="1:9" ht="18">
      <c r="A53" s="356">
        <v>4</v>
      </c>
      <c r="B53" s="295" t="s">
        <v>710</v>
      </c>
      <c r="C53" s="295" t="s">
        <v>711</v>
      </c>
      <c r="D53" s="357">
        <v>60324</v>
      </c>
      <c r="E53" s="357">
        <v>80819</v>
      </c>
      <c r="F53" s="357">
        <v>86004</v>
      </c>
      <c r="G53" s="357">
        <v>85385</v>
      </c>
      <c r="H53" s="357">
        <v>90603</v>
      </c>
      <c r="I53" s="358" t="s">
        <v>712</v>
      </c>
    </row>
    <row r="54" spans="1:9" ht="18">
      <c r="A54" s="356">
        <v>5</v>
      </c>
      <c r="B54" s="295" t="s">
        <v>713</v>
      </c>
      <c r="C54" s="295" t="s">
        <v>714</v>
      </c>
      <c r="D54" s="357">
        <v>63993</v>
      </c>
      <c r="E54" s="357">
        <v>68874</v>
      </c>
      <c r="F54" s="357">
        <v>86085</v>
      </c>
      <c r="G54" s="357">
        <v>84321</v>
      </c>
      <c r="H54" s="357">
        <v>84588</v>
      </c>
      <c r="I54" s="358" t="s">
        <v>715</v>
      </c>
    </row>
    <row r="55" spans="1:9" ht="16.899999999999999" customHeight="1"/>
    <row r="56" spans="1:9" ht="16.899999999999999" customHeight="1">
      <c r="A56" s="356">
        <v>2017</v>
      </c>
      <c r="B56" s="560" t="s">
        <v>693</v>
      </c>
      <c r="C56" s="560" t="s">
        <v>694</v>
      </c>
      <c r="D56" s="560" t="s">
        <v>695</v>
      </c>
      <c r="E56" s="560" t="s">
        <v>696</v>
      </c>
      <c r="F56" s="560" t="s">
        <v>697</v>
      </c>
      <c r="G56" s="560" t="s">
        <v>698</v>
      </c>
      <c r="H56" s="560" t="s">
        <v>699</v>
      </c>
      <c r="I56" s="356" t="s">
        <v>700</v>
      </c>
    </row>
    <row r="57" spans="1:9" ht="16.899999999999999" customHeight="1">
      <c r="A57" s="356" t="s">
        <v>716</v>
      </c>
      <c r="B57" s="560"/>
      <c r="C57" s="560"/>
      <c r="D57" s="560"/>
      <c r="E57" s="560"/>
      <c r="F57" s="560"/>
      <c r="G57" s="560"/>
      <c r="H57" s="560"/>
      <c r="I57" s="356" t="s">
        <v>702</v>
      </c>
    </row>
    <row r="58" spans="1:9" ht="16.899999999999999" customHeight="1">
      <c r="A58" s="356">
        <v>1</v>
      </c>
      <c r="B58" s="295" t="s">
        <v>717</v>
      </c>
      <c r="C58" s="295" t="s">
        <v>718</v>
      </c>
      <c r="D58" s="357">
        <v>283749</v>
      </c>
      <c r="E58" s="357">
        <v>299623</v>
      </c>
      <c r="F58" s="357">
        <v>303240</v>
      </c>
      <c r="G58" s="357">
        <v>310944</v>
      </c>
      <c r="H58" s="357">
        <v>321472</v>
      </c>
      <c r="I58" s="358" t="s">
        <v>704</v>
      </c>
    </row>
    <row r="59" spans="1:9" ht="16.899999999999999" customHeight="1">
      <c r="A59" s="356">
        <v>2</v>
      </c>
      <c r="B59" s="295" t="s">
        <v>707</v>
      </c>
      <c r="C59" s="295" t="s">
        <v>719</v>
      </c>
      <c r="D59" s="357">
        <v>264763</v>
      </c>
      <c r="E59" s="357">
        <v>279463</v>
      </c>
      <c r="F59" s="357">
        <v>301462</v>
      </c>
      <c r="G59" s="357">
        <v>307462</v>
      </c>
      <c r="H59" s="357">
        <v>271369</v>
      </c>
      <c r="I59" s="358" t="s">
        <v>720</v>
      </c>
    </row>
    <row r="60" spans="1:9" ht="18" customHeight="1">
      <c r="A60" s="356">
        <v>3</v>
      </c>
      <c r="B60" s="295" t="s">
        <v>721</v>
      </c>
      <c r="C60" s="295" t="s">
        <v>722</v>
      </c>
      <c r="D60" s="357">
        <v>292715</v>
      </c>
      <c r="E60" s="357">
        <v>308345</v>
      </c>
      <c r="F60" s="357">
        <v>313610</v>
      </c>
      <c r="G60" s="357">
        <v>298999</v>
      </c>
      <c r="H60" s="357">
        <v>255602</v>
      </c>
      <c r="I60" s="358" t="s">
        <v>723</v>
      </c>
    </row>
    <row r="61" spans="1:9" ht="16.899999999999999" customHeight="1">
      <c r="A61" s="356">
        <v>4</v>
      </c>
      <c r="B61" s="295" t="s">
        <v>724</v>
      </c>
      <c r="C61" s="295">
        <v>208</v>
      </c>
      <c r="D61" s="357">
        <v>237266</v>
      </c>
      <c r="E61" s="357">
        <v>214547</v>
      </c>
      <c r="F61" s="357">
        <v>228088</v>
      </c>
      <c r="G61" s="357">
        <v>247379</v>
      </c>
      <c r="H61" s="357">
        <v>242589</v>
      </c>
      <c r="I61" s="358" t="s">
        <v>725</v>
      </c>
    </row>
    <row r="62" spans="1:9" ht="18">
      <c r="A62" s="356">
        <v>5</v>
      </c>
      <c r="B62" s="295" t="s">
        <v>891</v>
      </c>
      <c r="C62" s="295" t="s">
        <v>726</v>
      </c>
      <c r="D62" s="357">
        <v>240005</v>
      </c>
      <c r="E62" s="357">
        <v>250342</v>
      </c>
      <c r="F62" s="357">
        <v>268846</v>
      </c>
      <c r="G62" s="357">
        <v>262939</v>
      </c>
      <c r="H62" s="357">
        <v>231434</v>
      </c>
      <c r="I62" s="358" t="s">
        <v>727</v>
      </c>
    </row>
    <row r="66" spans="1:9">
      <c r="A66" s="295"/>
    </row>
    <row r="68" spans="1:9" ht="18">
      <c r="A68" s="356">
        <v>2017</v>
      </c>
      <c r="B68" s="560" t="s">
        <v>693</v>
      </c>
      <c r="C68" s="560" t="s">
        <v>694</v>
      </c>
      <c r="D68" s="560" t="s">
        <v>695</v>
      </c>
      <c r="E68" s="560" t="s">
        <v>696</v>
      </c>
      <c r="F68" s="560" t="s">
        <v>697</v>
      </c>
      <c r="G68" s="560" t="s">
        <v>698</v>
      </c>
      <c r="H68" s="560" t="s">
        <v>699</v>
      </c>
      <c r="I68" s="356" t="s">
        <v>700</v>
      </c>
    </row>
    <row r="69" spans="1:9" ht="18">
      <c r="A69" s="356" t="s">
        <v>728</v>
      </c>
      <c r="B69" s="560"/>
      <c r="C69" s="560"/>
      <c r="D69" s="560"/>
      <c r="E69" s="560"/>
      <c r="F69" s="560"/>
      <c r="G69" s="560"/>
      <c r="H69" s="560"/>
      <c r="I69" s="356" t="s">
        <v>702</v>
      </c>
    </row>
    <row r="70" spans="1:9" ht="18">
      <c r="A70" s="356">
        <v>1</v>
      </c>
      <c r="B70" s="295" t="s">
        <v>707</v>
      </c>
      <c r="C70" s="295" t="s">
        <v>729</v>
      </c>
      <c r="D70" s="357">
        <v>462527</v>
      </c>
      <c r="E70" s="357">
        <v>523729</v>
      </c>
      <c r="F70" s="357">
        <v>534535</v>
      </c>
      <c r="G70" s="357">
        <v>491681</v>
      </c>
      <c r="H70" s="357">
        <v>482177</v>
      </c>
      <c r="I70" s="358" t="s">
        <v>725</v>
      </c>
    </row>
    <row r="71" spans="1:9" ht="18">
      <c r="A71" s="356">
        <v>2</v>
      </c>
      <c r="B71" s="295" t="s">
        <v>730</v>
      </c>
      <c r="C71" s="295" t="s">
        <v>731</v>
      </c>
      <c r="D71" s="357">
        <v>165027</v>
      </c>
      <c r="E71" s="357">
        <v>205071</v>
      </c>
      <c r="F71" s="357">
        <v>215797</v>
      </c>
      <c r="G71" s="357">
        <v>226737</v>
      </c>
      <c r="H71" s="357">
        <v>227313</v>
      </c>
      <c r="I71" s="358" t="s">
        <v>715</v>
      </c>
    </row>
    <row r="72" spans="1:9" ht="18">
      <c r="A72" s="356">
        <v>3</v>
      </c>
      <c r="B72" s="358" t="s">
        <v>892</v>
      </c>
      <c r="C72" s="295" t="s">
        <v>732</v>
      </c>
      <c r="D72" s="357">
        <v>198449</v>
      </c>
      <c r="E72" s="357">
        <v>179547</v>
      </c>
      <c r="F72" s="357">
        <v>192973</v>
      </c>
      <c r="G72" s="357">
        <v>250410</v>
      </c>
      <c r="H72" s="357">
        <v>216515</v>
      </c>
      <c r="I72" s="358" t="s">
        <v>733</v>
      </c>
    </row>
    <row r="73" spans="1:9" ht="18">
      <c r="A73" s="356">
        <v>4</v>
      </c>
      <c r="B73" s="295" t="s">
        <v>721</v>
      </c>
      <c r="C73" s="295" t="s">
        <v>734</v>
      </c>
      <c r="D73" s="357">
        <v>225102</v>
      </c>
      <c r="E73" s="357">
        <v>222297</v>
      </c>
      <c r="F73" s="357">
        <v>232160</v>
      </c>
      <c r="G73" s="357">
        <v>212083</v>
      </c>
      <c r="H73" s="357">
        <v>212353</v>
      </c>
      <c r="I73" s="358" t="s">
        <v>735</v>
      </c>
    </row>
    <row r="74" spans="1:9" ht="18">
      <c r="A74" s="356">
        <v>5</v>
      </c>
      <c r="B74" s="295" t="s">
        <v>717</v>
      </c>
      <c r="C74" s="295" t="s">
        <v>736</v>
      </c>
      <c r="D74" s="357">
        <v>149435</v>
      </c>
      <c r="E74" s="357">
        <v>135206</v>
      </c>
      <c r="F74" s="357">
        <v>123114</v>
      </c>
      <c r="G74" s="357">
        <v>148213</v>
      </c>
      <c r="H74" s="357">
        <v>167836</v>
      </c>
      <c r="I74" s="358" t="s">
        <v>737</v>
      </c>
    </row>
    <row r="76" spans="1:9" ht="18">
      <c r="A76" s="356">
        <v>2017</v>
      </c>
      <c r="B76" s="560" t="s">
        <v>693</v>
      </c>
      <c r="C76" s="560" t="s">
        <v>694</v>
      </c>
      <c r="D76" s="560" t="s">
        <v>695</v>
      </c>
      <c r="E76" s="560" t="s">
        <v>696</v>
      </c>
      <c r="F76" s="560" t="s">
        <v>697</v>
      </c>
      <c r="G76" s="560" t="s">
        <v>698</v>
      </c>
      <c r="H76" s="560" t="s">
        <v>699</v>
      </c>
      <c r="I76" s="356" t="s">
        <v>700</v>
      </c>
    </row>
    <row r="77" spans="1:9" ht="18">
      <c r="A77" s="356" t="s">
        <v>738</v>
      </c>
      <c r="B77" s="560"/>
      <c r="C77" s="560"/>
      <c r="D77" s="560"/>
      <c r="E77" s="560"/>
      <c r="F77" s="560"/>
      <c r="G77" s="560"/>
      <c r="H77" s="560"/>
      <c r="I77" s="356" t="s">
        <v>702</v>
      </c>
    </row>
    <row r="78" spans="1:9" ht="18">
      <c r="A78" s="356">
        <v>1</v>
      </c>
      <c r="B78" s="295" t="s">
        <v>707</v>
      </c>
      <c r="C78" s="295" t="s">
        <v>739</v>
      </c>
      <c r="D78" s="357">
        <v>156025</v>
      </c>
      <c r="E78" s="357">
        <v>153677</v>
      </c>
      <c r="F78" s="357">
        <v>226127</v>
      </c>
      <c r="G78" s="357">
        <v>206813</v>
      </c>
      <c r="H78" s="357">
        <v>183288</v>
      </c>
      <c r="I78" s="358" t="s">
        <v>740</v>
      </c>
    </row>
    <row r="79" spans="1:9" ht="18">
      <c r="A79" s="356">
        <v>2</v>
      </c>
      <c r="B79" s="295" t="s">
        <v>730</v>
      </c>
      <c r="C79" s="295" t="s">
        <v>741</v>
      </c>
      <c r="D79" s="357">
        <v>42215</v>
      </c>
      <c r="E79" s="357">
        <v>46149</v>
      </c>
      <c r="F79" s="357">
        <v>50533</v>
      </c>
      <c r="G79" s="357">
        <v>85879</v>
      </c>
      <c r="H79" s="357">
        <v>81410</v>
      </c>
      <c r="I79" s="358" t="s">
        <v>742</v>
      </c>
    </row>
    <row r="80" spans="1:9" ht="18">
      <c r="A80" s="356">
        <v>3</v>
      </c>
      <c r="B80" s="358" t="s">
        <v>892</v>
      </c>
      <c r="C80" s="295" t="s">
        <v>743</v>
      </c>
      <c r="D80" s="357">
        <v>77127</v>
      </c>
      <c r="E80" s="357">
        <v>92694</v>
      </c>
      <c r="F80" s="357">
        <v>88544</v>
      </c>
      <c r="G80" s="357">
        <v>73161</v>
      </c>
      <c r="H80" s="357">
        <v>72347</v>
      </c>
      <c r="I80" s="358" t="s">
        <v>744</v>
      </c>
    </row>
    <row r="81" spans="1:9" ht="18">
      <c r="A81" s="356">
        <v>4</v>
      </c>
      <c r="B81" s="295" t="s">
        <v>721</v>
      </c>
      <c r="C81" s="295" t="s">
        <v>745</v>
      </c>
      <c r="D81" s="357">
        <v>50180</v>
      </c>
      <c r="E81" s="357">
        <v>45405</v>
      </c>
      <c r="F81" s="357">
        <v>79673</v>
      </c>
      <c r="G81" s="357">
        <v>70900</v>
      </c>
      <c r="H81" s="357">
        <v>56173</v>
      </c>
      <c r="I81" s="358" t="s">
        <v>746</v>
      </c>
    </row>
    <row r="82" spans="1:9" ht="18">
      <c r="A82" s="356">
        <v>5</v>
      </c>
      <c r="B82" s="295" t="s">
        <v>717</v>
      </c>
      <c r="C82" s="295" t="s">
        <v>747</v>
      </c>
      <c r="D82" s="358" t="s">
        <v>748</v>
      </c>
      <c r="E82" s="358" t="s">
        <v>748</v>
      </c>
      <c r="F82" s="357">
        <v>1824</v>
      </c>
      <c r="G82" s="357">
        <v>34344</v>
      </c>
      <c r="H82" s="357">
        <v>32163</v>
      </c>
      <c r="I82" s="358" t="s">
        <v>749</v>
      </c>
    </row>
    <row r="85" spans="1:9" ht="18">
      <c r="A85" s="356">
        <v>2017</v>
      </c>
      <c r="B85" s="560" t="s">
        <v>693</v>
      </c>
      <c r="C85" s="560" t="s">
        <v>694</v>
      </c>
      <c r="D85" s="560" t="s">
        <v>695</v>
      </c>
      <c r="E85" s="560" t="s">
        <v>696</v>
      </c>
      <c r="F85" s="560" t="s">
        <v>697</v>
      </c>
      <c r="G85" s="560" t="s">
        <v>698</v>
      </c>
      <c r="H85" s="560" t="s">
        <v>699</v>
      </c>
      <c r="I85" s="356" t="s">
        <v>700</v>
      </c>
    </row>
    <row r="86" spans="1:9" ht="18">
      <c r="A86" s="356" t="s">
        <v>750</v>
      </c>
      <c r="B86" s="560"/>
      <c r="C86" s="560"/>
      <c r="D86" s="560"/>
      <c r="E86" s="560"/>
      <c r="F86" s="560"/>
      <c r="G86" s="560"/>
      <c r="H86" s="560"/>
      <c r="I86" s="356" t="s">
        <v>702</v>
      </c>
    </row>
    <row r="87" spans="1:9" ht="18">
      <c r="A87" s="356">
        <v>1</v>
      </c>
      <c r="B87" s="295" t="s">
        <v>751</v>
      </c>
      <c r="C87" s="295" t="s">
        <v>752</v>
      </c>
      <c r="D87" s="357">
        <v>106559</v>
      </c>
      <c r="E87" s="357">
        <v>99565</v>
      </c>
      <c r="F87" s="357">
        <v>84771</v>
      </c>
      <c r="G87" s="357">
        <v>99494</v>
      </c>
      <c r="H87" s="357">
        <v>127638</v>
      </c>
      <c r="I87" s="358" t="s">
        <v>753</v>
      </c>
    </row>
    <row r="88" spans="1:9" ht="18">
      <c r="A88" s="356">
        <v>2</v>
      </c>
      <c r="B88" s="295" t="s">
        <v>754</v>
      </c>
      <c r="C88" s="295" t="s">
        <v>755</v>
      </c>
      <c r="D88" s="357">
        <v>107307</v>
      </c>
      <c r="E88" s="357">
        <v>98701</v>
      </c>
      <c r="F88" s="357">
        <v>88898</v>
      </c>
      <c r="G88" s="357">
        <v>81599</v>
      </c>
      <c r="H88" s="357">
        <v>109953</v>
      </c>
      <c r="I88" s="358" t="s">
        <v>756</v>
      </c>
    </row>
    <row r="89" spans="1:9" ht="18">
      <c r="A89" s="356">
        <v>3</v>
      </c>
      <c r="B89" s="295" t="s">
        <v>757</v>
      </c>
      <c r="C89" s="358" t="s">
        <v>893</v>
      </c>
      <c r="D89" s="357">
        <v>82883</v>
      </c>
      <c r="E89" s="357">
        <v>84283</v>
      </c>
      <c r="F89" s="357">
        <v>95329</v>
      </c>
      <c r="G89" s="357">
        <v>93479</v>
      </c>
      <c r="H89" s="357">
        <v>78944</v>
      </c>
      <c r="I89" s="358" t="s">
        <v>758</v>
      </c>
    </row>
    <row r="90" spans="1:9" ht="18">
      <c r="A90" s="356">
        <v>4</v>
      </c>
      <c r="B90" s="295" t="s">
        <v>759</v>
      </c>
      <c r="C90" s="358" t="s">
        <v>894</v>
      </c>
      <c r="D90" s="358" t="s">
        <v>748</v>
      </c>
      <c r="E90" s="358" t="s">
        <v>748</v>
      </c>
      <c r="F90" s="358" t="s">
        <v>748</v>
      </c>
      <c r="G90" s="357">
        <v>10834</v>
      </c>
      <c r="H90" s="357">
        <v>55193</v>
      </c>
      <c r="I90" s="358" t="s">
        <v>760</v>
      </c>
    </row>
    <row r="91" spans="1:9" ht="18">
      <c r="A91" s="356">
        <v>5</v>
      </c>
      <c r="B91" s="295" t="s">
        <v>761</v>
      </c>
      <c r="C91" s="295" t="s">
        <v>762</v>
      </c>
      <c r="D91" s="357">
        <v>3928</v>
      </c>
      <c r="E91" s="357">
        <v>8868</v>
      </c>
      <c r="F91" s="357">
        <v>15231</v>
      </c>
      <c r="G91" s="357">
        <v>11564</v>
      </c>
      <c r="H91" s="357">
        <v>16026</v>
      </c>
      <c r="I91" s="358" t="s">
        <v>763</v>
      </c>
    </row>
    <row r="94" spans="1:9" ht="18">
      <c r="A94" s="356">
        <v>2017</v>
      </c>
      <c r="B94" s="560" t="s">
        <v>693</v>
      </c>
      <c r="C94" s="560" t="s">
        <v>694</v>
      </c>
      <c r="D94" s="560" t="s">
        <v>695</v>
      </c>
      <c r="E94" s="560" t="s">
        <v>696</v>
      </c>
      <c r="F94" s="560" t="s">
        <v>697</v>
      </c>
      <c r="G94" s="560" t="s">
        <v>698</v>
      </c>
      <c r="H94" s="560" t="s">
        <v>699</v>
      </c>
      <c r="I94" s="356" t="s">
        <v>700</v>
      </c>
    </row>
    <row r="95" spans="1:9" ht="18">
      <c r="A95" s="356" t="s">
        <v>764</v>
      </c>
      <c r="B95" s="560"/>
      <c r="C95" s="560"/>
      <c r="D95" s="560"/>
      <c r="E95" s="560"/>
      <c r="F95" s="560"/>
      <c r="G95" s="560"/>
      <c r="H95" s="560"/>
      <c r="I95" s="356" t="s">
        <v>702</v>
      </c>
    </row>
    <row r="96" spans="1:9" ht="18">
      <c r="A96" s="356">
        <v>1</v>
      </c>
      <c r="B96" s="295" t="s">
        <v>751</v>
      </c>
      <c r="C96" s="295" t="s">
        <v>765</v>
      </c>
      <c r="D96" s="357">
        <v>8736</v>
      </c>
      <c r="E96" s="357">
        <v>17638</v>
      </c>
      <c r="F96" s="357">
        <v>16583</v>
      </c>
      <c r="G96" s="357">
        <v>14967</v>
      </c>
      <c r="H96" s="357">
        <v>14757</v>
      </c>
      <c r="I96" s="358" t="s">
        <v>766</v>
      </c>
    </row>
    <row r="97" spans="1:12" ht="18">
      <c r="A97" s="356">
        <v>2</v>
      </c>
      <c r="B97" s="295" t="s">
        <v>754</v>
      </c>
      <c r="C97" s="295" t="s">
        <v>767</v>
      </c>
      <c r="D97" s="357">
        <v>5980</v>
      </c>
      <c r="E97" s="357">
        <v>5307</v>
      </c>
      <c r="F97" s="357">
        <v>5985</v>
      </c>
      <c r="G97" s="357">
        <v>13320</v>
      </c>
      <c r="H97" s="357">
        <v>11533</v>
      </c>
      <c r="I97" s="358" t="s">
        <v>768</v>
      </c>
    </row>
    <row r="98" spans="1:12" ht="18">
      <c r="A98" s="356">
        <v>3</v>
      </c>
      <c r="B98" s="295" t="s">
        <v>769</v>
      </c>
      <c r="C98" s="295" t="s">
        <v>770</v>
      </c>
      <c r="D98" s="357">
        <v>5679</v>
      </c>
      <c r="E98" s="357">
        <v>5676</v>
      </c>
      <c r="F98" s="357">
        <v>4191</v>
      </c>
      <c r="G98" s="357">
        <v>3140</v>
      </c>
      <c r="H98" s="357">
        <v>10478</v>
      </c>
      <c r="I98" s="358" t="s">
        <v>771</v>
      </c>
    </row>
    <row r="99" spans="1:12" ht="18">
      <c r="A99" s="356">
        <v>4</v>
      </c>
      <c r="B99" s="295" t="s">
        <v>757</v>
      </c>
      <c r="C99" s="358" t="s">
        <v>895</v>
      </c>
      <c r="D99" s="357">
        <v>5486</v>
      </c>
      <c r="E99" s="357">
        <v>6556</v>
      </c>
      <c r="F99" s="357">
        <v>6717</v>
      </c>
      <c r="G99" s="357">
        <v>5372</v>
      </c>
      <c r="H99" s="357">
        <v>5887</v>
      </c>
      <c r="I99" s="358" t="s">
        <v>772</v>
      </c>
    </row>
    <row r="100" spans="1:12" ht="18">
      <c r="A100" s="356">
        <v>5</v>
      </c>
      <c r="B100" s="295" t="s">
        <v>773</v>
      </c>
      <c r="C100" s="295" t="s">
        <v>774</v>
      </c>
      <c r="D100" s="357">
        <v>2287</v>
      </c>
      <c r="E100" s="357">
        <v>1905</v>
      </c>
      <c r="F100" s="357">
        <v>1616</v>
      </c>
      <c r="G100" s="357">
        <v>1847</v>
      </c>
      <c r="H100" s="357">
        <v>1495</v>
      </c>
      <c r="I100" s="358" t="s">
        <v>775</v>
      </c>
    </row>
    <row r="102" spans="1:12" ht="18">
      <c r="A102" s="356">
        <v>2017</v>
      </c>
      <c r="B102" s="560" t="s">
        <v>693</v>
      </c>
      <c r="C102" s="560" t="s">
        <v>694</v>
      </c>
      <c r="D102" s="560" t="s">
        <v>695</v>
      </c>
      <c r="E102" s="560" t="s">
        <v>696</v>
      </c>
      <c r="F102" s="560" t="s">
        <v>697</v>
      </c>
      <c r="G102" s="560" t="s">
        <v>698</v>
      </c>
      <c r="H102" s="560" t="s">
        <v>699</v>
      </c>
      <c r="I102" s="356" t="s">
        <v>700</v>
      </c>
    </row>
    <row r="103" spans="1:12" ht="18">
      <c r="A103" s="356" t="s">
        <v>776</v>
      </c>
      <c r="B103" s="560"/>
      <c r="C103" s="560"/>
      <c r="D103" s="560"/>
      <c r="E103" s="560"/>
      <c r="F103" s="560"/>
      <c r="G103" s="560"/>
      <c r="H103" s="560"/>
      <c r="I103" s="356" t="s">
        <v>702</v>
      </c>
    </row>
    <row r="104" spans="1:12" ht="18">
      <c r="A104" s="356">
        <v>1</v>
      </c>
      <c r="B104" s="295" t="s">
        <v>717</v>
      </c>
      <c r="C104" s="295" t="s">
        <v>777</v>
      </c>
      <c r="D104" s="357">
        <v>84085</v>
      </c>
      <c r="E104" s="357">
        <v>164801</v>
      </c>
      <c r="F104" s="357">
        <v>194847</v>
      </c>
      <c r="G104" s="357">
        <v>215493</v>
      </c>
      <c r="H104" s="357">
        <v>211321</v>
      </c>
      <c r="I104" s="358" t="s">
        <v>725</v>
      </c>
    </row>
    <row r="105" spans="1:12" ht="18">
      <c r="A105" s="356">
        <v>2</v>
      </c>
      <c r="B105" s="295" t="s">
        <v>724</v>
      </c>
      <c r="C105" s="295">
        <v>2008</v>
      </c>
      <c r="D105" s="357">
        <v>58672</v>
      </c>
      <c r="E105" s="357">
        <v>135541</v>
      </c>
      <c r="F105" s="357">
        <v>154325</v>
      </c>
      <c r="G105" s="357">
        <v>175079</v>
      </c>
      <c r="H105" s="357">
        <v>179529</v>
      </c>
      <c r="I105" s="358" t="s">
        <v>778</v>
      </c>
    </row>
    <row r="106" spans="1:12" ht="18">
      <c r="A106" s="356">
        <v>3</v>
      </c>
      <c r="B106" s="358" t="s">
        <v>892</v>
      </c>
      <c r="C106" s="295" t="s">
        <v>779</v>
      </c>
      <c r="D106" s="357">
        <v>70768</v>
      </c>
      <c r="E106" s="357">
        <v>127437</v>
      </c>
      <c r="F106" s="357">
        <v>163246</v>
      </c>
      <c r="G106" s="357">
        <v>164340</v>
      </c>
      <c r="H106" s="357">
        <v>169886</v>
      </c>
      <c r="I106" s="358" t="s">
        <v>704</v>
      </c>
    </row>
    <row r="107" spans="1:12" ht="18">
      <c r="A107" s="356">
        <v>4</v>
      </c>
      <c r="B107" s="295" t="s">
        <v>780</v>
      </c>
      <c r="C107" s="295" t="s">
        <v>781</v>
      </c>
      <c r="D107" s="357">
        <v>88082</v>
      </c>
      <c r="E107" s="357">
        <v>127772</v>
      </c>
      <c r="F107" s="357">
        <v>125416</v>
      </c>
      <c r="G107" s="357">
        <v>139826</v>
      </c>
      <c r="H107" s="357">
        <v>145682</v>
      </c>
      <c r="I107" s="358" t="s">
        <v>782</v>
      </c>
    </row>
    <row r="108" spans="1:12" ht="18">
      <c r="A108" s="356">
        <v>5</v>
      </c>
      <c r="B108" s="295" t="s">
        <v>783</v>
      </c>
      <c r="C108" s="295" t="s">
        <v>784</v>
      </c>
      <c r="D108" s="357">
        <v>106411</v>
      </c>
      <c r="E108" s="357">
        <v>97538</v>
      </c>
      <c r="F108" s="357">
        <v>102574</v>
      </c>
      <c r="G108" s="357">
        <v>98108</v>
      </c>
      <c r="H108" s="357">
        <v>91774</v>
      </c>
      <c r="I108" s="358" t="s">
        <v>785</v>
      </c>
    </row>
    <row r="110" spans="1:12" ht="18">
      <c r="A110" s="356">
        <v>2017</v>
      </c>
      <c r="B110" s="558" t="s">
        <v>693</v>
      </c>
      <c r="C110" s="560" t="s">
        <v>694</v>
      </c>
      <c r="D110" s="559">
        <v>2016</v>
      </c>
      <c r="E110" s="559">
        <v>2017</v>
      </c>
      <c r="F110" s="356" t="s">
        <v>700</v>
      </c>
    </row>
    <row r="111" spans="1:12" ht="18">
      <c r="A111" s="356" t="s">
        <v>786</v>
      </c>
      <c r="B111" s="558"/>
      <c r="C111" s="560"/>
      <c r="D111" s="559"/>
      <c r="E111" s="559"/>
      <c r="F111" s="356" t="s">
        <v>787</v>
      </c>
      <c r="J111" s="359"/>
    </row>
    <row r="112" spans="1:12" ht="18">
      <c r="A112" s="356">
        <v>1</v>
      </c>
      <c r="B112" s="295" t="s">
        <v>783</v>
      </c>
      <c r="C112" s="295" t="s">
        <v>788</v>
      </c>
      <c r="D112" s="360">
        <v>247.19900000000001</v>
      </c>
      <c r="E112" s="360">
        <v>247.19900000000001</v>
      </c>
      <c r="F112" s="359">
        <v>0.05</v>
      </c>
      <c r="H112" s="360"/>
      <c r="I112" s="295"/>
      <c r="K112" s="360"/>
      <c r="L112" s="359"/>
    </row>
    <row r="113" spans="1:12" ht="18">
      <c r="A113" s="356">
        <v>2</v>
      </c>
      <c r="B113" s="295" t="s">
        <v>707</v>
      </c>
      <c r="C113" s="295" t="s">
        <v>789</v>
      </c>
      <c r="D113" s="360">
        <v>233.53100000000001</v>
      </c>
      <c r="E113" s="360">
        <v>233.53100000000001</v>
      </c>
      <c r="F113" s="359">
        <v>0.31</v>
      </c>
      <c r="H113" s="360"/>
      <c r="I113" s="295"/>
      <c r="K113" s="360"/>
      <c r="L113" s="359"/>
    </row>
    <row r="114" spans="1:12" ht="18">
      <c r="A114" s="356">
        <v>3</v>
      </c>
      <c r="B114" s="295" t="s">
        <v>724</v>
      </c>
      <c r="C114" s="295">
        <v>3008</v>
      </c>
      <c r="D114" s="360">
        <v>168.35599999999999</v>
      </c>
      <c r="E114" s="360">
        <v>168.35599999999999</v>
      </c>
      <c r="F114" s="359">
        <v>3.53</v>
      </c>
      <c r="H114" s="360"/>
      <c r="I114" s="295"/>
      <c r="K114" s="360"/>
      <c r="L114" s="359"/>
    </row>
    <row r="115" spans="1:12" ht="18">
      <c r="A115" s="356">
        <v>4</v>
      </c>
      <c r="B115" s="295" t="s">
        <v>790</v>
      </c>
      <c r="C115" s="295" t="s">
        <v>791</v>
      </c>
      <c r="D115" s="360">
        <v>152.10300000000001</v>
      </c>
      <c r="E115" s="360">
        <v>152.10300000000001</v>
      </c>
      <c r="F115" s="359">
        <v>0.03</v>
      </c>
      <c r="H115" s="360"/>
      <c r="I115" s="295"/>
    </row>
    <row r="116" spans="1:12" ht="18.75">
      <c r="A116" s="356">
        <v>5</v>
      </c>
      <c r="B116" s="295" t="s">
        <v>721</v>
      </c>
      <c r="C116" s="295" t="s">
        <v>792</v>
      </c>
      <c r="D116" s="360">
        <v>151.45099999999999</v>
      </c>
      <c r="E116" s="360">
        <v>151.45099999999999</v>
      </c>
      <c r="F116" s="361">
        <v>0.27</v>
      </c>
    </row>
    <row r="117" spans="1:12" ht="18.75">
      <c r="A117" s="356"/>
      <c r="D117" s="362"/>
      <c r="E117" s="362"/>
      <c r="F117" s="362"/>
    </row>
    <row r="118" spans="1:12" ht="18">
      <c r="A118" s="356">
        <v>2017</v>
      </c>
      <c r="B118" s="558" t="s">
        <v>693</v>
      </c>
      <c r="C118" s="558" t="s">
        <v>694</v>
      </c>
      <c r="D118" s="559">
        <v>2016</v>
      </c>
      <c r="E118" s="559">
        <v>2017</v>
      </c>
      <c r="F118" s="356" t="s">
        <v>700</v>
      </c>
    </row>
    <row r="119" spans="1:12" ht="18">
      <c r="A119" s="356" t="s">
        <v>793</v>
      </c>
      <c r="B119" s="558" t="s">
        <v>693</v>
      </c>
      <c r="C119" s="558"/>
      <c r="D119" s="559">
        <v>2016</v>
      </c>
      <c r="E119" s="559">
        <v>2017</v>
      </c>
      <c r="F119" s="356" t="s">
        <v>787</v>
      </c>
    </row>
    <row r="120" spans="1:12" ht="18">
      <c r="A120" s="356">
        <v>1</v>
      </c>
      <c r="B120" s="295" t="s">
        <v>754</v>
      </c>
      <c r="C120" s="295" t="s">
        <v>794</v>
      </c>
      <c r="D120" s="360">
        <v>37.097000000000001</v>
      </c>
      <c r="E120" s="360">
        <v>34.640999999999998</v>
      </c>
      <c r="F120" s="359">
        <v>-7.0000000000000007E-2</v>
      </c>
    </row>
    <row r="121" spans="1:12" ht="18">
      <c r="A121" s="356">
        <v>2</v>
      </c>
      <c r="B121" s="295" t="s">
        <v>759</v>
      </c>
      <c r="C121" s="295" t="s">
        <v>795</v>
      </c>
      <c r="D121" s="360">
        <v>35.470999999999997</v>
      </c>
      <c r="E121" s="360">
        <v>30.367000000000001</v>
      </c>
      <c r="F121" s="359">
        <v>-0.14000000000000001</v>
      </c>
    </row>
    <row r="122" spans="1:12" ht="18">
      <c r="A122" s="356">
        <v>3</v>
      </c>
      <c r="B122" s="295" t="s">
        <v>757</v>
      </c>
      <c r="C122" s="295" t="s">
        <v>796</v>
      </c>
      <c r="D122" s="360">
        <v>33.357999999999997</v>
      </c>
      <c r="E122" s="360">
        <v>30.350999999999999</v>
      </c>
      <c r="F122" s="359">
        <v>-0.09</v>
      </c>
      <c r="H122" s="250" t="s">
        <v>797</v>
      </c>
    </row>
    <row r="123" spans="1:12" ht="18">
      <c r="A123" s="356">
        <v>4</v>
      </c>
      <c r="B123" s="295" t="s">
        <v>751</v>
      </c>
      <c r="C123" s="295" t="s">
        <v>798</v>
      </c>
      <c r="D123" s="360">
        <v>29.922999999999998</v>
      </c>
      <c r="E123" s="360">
        <v>26.518999999999998</v>
      </c>
      <c r="F123" s="359">
        <v>-0.11</v>
      </c>
    </row>
    <row r="124" spans="1:12" ht="18">
      <c r="A124" s="356">
        <v>5</v>
      </c>
      <c r="B124" s="295" t="s">
        <v>799</v>
      </c>
      <c r="C124" s="295" t="s">
        <v>800</v>
      </c>
      <c r="D124" s="360">
        <v>28.303999999999998</v>
      </c>
      <c r="E124" s="360">
        <v>26.052</v>
      </c>
      <c r="F124" s="359">
        <v>-0.08</v>
      </c>
    </row>
    <row r="125" spans="1:12">
      <c r="C125" s="295"/>
    </row>
  </sheetData>
  <sheetProtection algorithmName="SHA-512" hashValue="fqPyytPbQECNRxlDwSXnqQCtDK2GfA5974SJoCbAO+0ns/9+BST5hM1PAotNa4fJnLy9XCDMrcIt6DlpTLg9Gg==" saltValue="k2taj+VUTx+qcD5QNH8peA==" spinCount="100000" sheet="1" objects="1" scenarios="1"/>
  <mergeCells count="57">
    <mergeCell ref="H85:H86"/>
    <mergeCell ref="B85:B86"/>
    <mergeCell ref="C85:C86"/>
    <mergeCell ref="D85:D86"/>
    <mergeCell ref="E85:E86"/>
    <mergeCell ref="F85:F86"/>
    <mergeCell ref="G85:G86"/>
    <mergeCell ref="G76:G77"/>
    <mergeCell ref="H76:H77"/>
    <mergeCell ref="B56:B57"/>
    <mergeCell ref="C56:C57"/>
    <mergeCell ref="D56:D57"/>
    <mergeCell ref="E56:E57"/>
    <mergeCell ref="F56:F57"/>
    <mergeCell ref="H68:H69"/>
    <mergeCell ref="B76:B77"/>
    <mergeCell ref="C76:C77"/>
    <mergeCell ref="D76:D77"/>
    <mergeCell ref="E76:E77"/>
    <mergeCell ref="F76:F77"/>
    <mergeCell ref="G48:G49"/>
    <mergeCell ref="H48:H49"/>
    <mergeCell ref="B68:B69"/>
    <mergeCell ref="C68:C69"/>
    <mergeCell ref="D68:D69"/>
    <mergeCell ref="E68:E69"/>
    <mergeCell ref="F68:F69"/>
    <mergeCell ref="G68:G69"/>
    <mergeCell ref="B48:B49"/>
    <mergeCell ref="C48:C49"/>
    <mergeCell ref="D48:D49"/>
    <mergeCell ref="E48:E49"/>
    <mergeCell ref="F48:F49"/>
    <mergeCell ref="G56:G57"/>
    <mergeCell ref="H56:H57"/>
    <mergeCell ref="G94:G95"/>
    <mergeCell ref="H94:H95"/>
    <mergeCell ref="B102:B103"/>
    <mergeCell ref="C102:C103"/>
    <mergeCell ref="D102:D103"/>
    <mergeCell ref="E102:E103"/>
    <mergeCell ref="F102:F103"/>
    <mergeCell ref="G102:G103"/>
    <mergeCell ref="H102:H103"/>
    <mergeCell ref="B94:B95"/>
    <mergeCell ref="C94:C95"/>
    <mergeCell ref="D94:D95"/>
    <mergeCell ref="E94:E95"/>
    <mergeCell ref="F94:F95"/>
    <mergeCell ref="B118:B119"/>
    <mergeCell ref="C118:C119"/>
    <mergeCell ref="D118:D119"/>
    <mergeCell ref="E118:E119"/>
    <mergeCell ref="B110:B111"/>
    <mergeCell ref="C110:C111"/>
    <mergeCell ref="D110:D111"/>
    <mergeCell ref="E110:E111"/>
  </mergeCells>
  <hyperlinks>
    <hyperlink ref="B70" r:id="rId1" tooltip="Volkswagen" display="https://en.wikipedia.org/wiki/Volkswagen" xr:uid="{00000000-0004-0000-0C00-000000000000}"/>
    <hyperlink ref="C70" r:id="rId2" tooltip="Volkswagen Golf" display="https://en.wikipedia.org/wiki/Volkswagen_Golf" xr:uid="{00000000-0004-0000-0C00-000001000000}"/>
    <hyperlink ref="B71" r:id="rId3" tooltip="Škoda Auto" display="https://en.wikipedia.org/wiki/%C5%A0koda_Auto" xr:uid="{00000000-0004-0000-0C00-000002000000}"/>
    <hyperlink ref="C71" r:id="rId4" tooltip="Škoda Octavia" display="https://en.wikipedia.org/wiki/%C5%A0koda_Octavia" xr:uid="{00000000-0004-0000-0C00-000003000000}"/>
    <hyperlink ref="C72" r:id="rId5" tooltip="Opel Astra" display="https://en.wikipedia.org/wiki/Opel_Astra" xr:uid="{00000000-0004-0000-0C00-000004000000}"/>
    <hyperlink ref="B73" r:id="rId6" tooltip="Ford" display="https://en.wikipedia.org/wiki/Ford" xr:uid="{00000000-0004-0000-0C00-000005000000}"/>
    <hyperlink ref="C73" r:id="rId7" tooltip="Ford Focus" display="https://en.wikipedia.org/wiki/Ford_Focus" xr:uid="{00000000-0004-0000-0C00-000006000000}"/>
    <hyperlink ref="B74" r:id="rId8" tooltip="Renault" display="https://en.wikipedia.org/wiki/Renault" xr:uid="{00000000-0004-0000-0C00-000007000000}"/>
    <hyperlink ref="C74" r:id="rId9" tooltip="Renault Mégane" display="https://en.wikipedia.org/wiki/Renault_M%C3%A9gane" xr:uid="{00000000-0004-0000-0C00-000008000000}"/>
    <hyperlink ref="B50" r:id="rId10" tooltip="Fiat" display="https://en.wikipedia.org/wiki/Fiat" xr:uid="{00000000-0004-0000-0C00-000009000000}"/>
    <hyperlink ref="C50" r:id="rId11" tooltip="Fiat 500 (2007)" display="https://en.wikipedia.org/wiki/Fiat_500_(2007)" xr:uid="{00000000-0004-0000-0C00-00000A000000}"/>
    <hyperlink ref="B51" r:id="rId12" tooltip="Fiat" display="https://en.wikipedia.org/wiki/Fiat" xr:uid="{00000000-0004-0000-0C00-00000B000000}"/>
    <hyperlink ref="C51" r:id="rId13" tooltip="Fiat Panda" display="https://en.wikipedia.org/wiki/Fiat_Panda" xr:uid="{00000000-0004-0000-0C00-00000C000000}"/>
    <hyperlink ref="B52" r:id="rId14" tooltip="Volkswagen" display="https://en.wikipedia.org/wiki/Volkswagen" xr:uid="{00000000-0004-0000-0C00-00000D000000}"/>
    <hyperlink ref="C52" r:id="rId15" tooltip="Volkswagen up!" display="https://en.wikipedia.org/wiki/Volkswagen_up!" xr:uid="{00000000-0004-0000-0C00-00000E000000}"/>
    <hyperlink ref="B53" r:id="rId16" tooltip="Hyundai Motor Company" display="https://en.wikipedia.org/wiki/Hyundai_Motor_Company" xr:uid="{00000000-0004-0000-0C00-00000F000000}"/>
    <hyperlink ref="C53" r:id="rId17" tooltip="Hyundai i10" display="https://en.wikipedia.org/wiki/Hyundai_i10" xr:uid="{00000000-0004-0000-0C00-000010000000}"/>
    <hyperlink ref="B54" r:id="rId18" tooltip="Toyota" display="https://en.wikipedia.org/wiki/Toyota" xr:uid="{00000000-0004-0000-0C00-000011000000}"/>
    <hyperlink ref="C54" r:id="rId19" tooltip="Toyota Aygo" display="https://en.wikipedia.org/wiki/Toyota_Aygo" xr:uid="{00000000-0004-0000-0C00-000012000000}"/>
    <hyperlink ref="B58" r:id="rId20" tooltip="Renault" display="https://en.wikipedia.org/wiki/Renault" xr:uid="{00000000-0004-0000-0C00-000013000000}"/>
    <hyperlink ref="C58" r:id="rId21" tooltip="Renault Clio" display="https://en.wikipedia.org/wiki/Renault_Clio" xr:uid="{00000000-0004-0000-0C00-000014000000}"/>
    <hyperlink ref="B59" r:id="rId22" tooltip="Volkswagen" display="https://en.wikipedia.org/wiki/Volkswagen" xr:uid="{00000000-0004-0000-0C00-000015000000}"/>
    <hyperlink ref="C59" r:id="rId23" tooltip="Volkswagen Polo" display="https://en.wikipedia.org/wiki/Volkswagen_Polo" xr:uid="{00000000-0004-0000-0C00-000016000000}"/>
    <hyperlink ref="B60" r:id="rId24" tooltip="Ford" display="https://en.wikipedia.org/wiki/Ford" xr:uid="{00000000-0004-0000-0C00-000017000000}"/>
    <hyperlink ref="C60" r:id="rId25" tooltip="Ford Fiesta" display="https://en.wikipedia.org/wiki/Ford_Fiesta" xr:uid="{00000000-0004-0000-0C00-000018000000}"/>
    <hyperlink ref="B61" r:id="rId26" tooltip="Peugeot" display="https://en.wikipedia.org/wiki/Peugeot" xr:uid="{00000000-0004-0000-0C00-000019000000}"/>
    <hyperlink ref="C61" r:id="rId27" tooltip="Peugeot 208" display="https://en.wikipedia.org/wiki/Peugeot_208" xr:uid="{00000000-0004-0000-0C00-00001A000000}"/>
    <hyperlink ref="C62" r:id="rId28" tooltip="Opel Corsa" display="https://en.wikipedia.org/wiki/Opel_Corsa" xr:uid="{00000000-0004-0000-0C00-00001B000000}"/>
    <hyperlink ref="B78" r:id="rId29" tooltip="Volkswagen" display="https://en.wikipedia.org/wiki/Volkswagen" xr:uid="{00000000-0004-0000-0C00-00001C000000}"/>
    <hyperlink ref="C78" r:id="rId30" tooltip="Volkswagen Passat" display="https://en.wikipedia.org/wiki/Volkswagen_Passat" xr:uid="{00000000-0004-0000-0C00-00001D000000}"/>
    <hyperlink ref="B79" r:id="rId31" tooltip="Škoda Auto" display="https://en.wikipedia.org/wiki/%C5%A0koda_Auto" xr:uid="{00000000-0004-0000-0C00-00001E000000}"/>
    <hyperlink ref="C79" r:id="rId32" tooltip="Škoda Superb" display="https://en.wikipedia.org/wiki/%C5%A0koda_Superb" xr:uid="{00000000-0004-0000-0C00-00001F000000}"/>
    <hyperlink ref="C80" r:id="rId33" tooltip="Opel Insignia" display="https://en.wikipedia.org/wiki/Opel_Insignia" xr:uid="{00000000-0004-0000-0C00-000020000000}"/>
    <hyperlink ref="B81" r:id="rId34" tooltip="Ford" display="https://en.wikipedia.org/wiki/Ford" xr:uid="{00000000-0004-0000-0C00-000021000000}"/>
    <hyperlink ref="C81" r:id="rId35" tooltip="Ford Mondeo" display="https://en.wikipedia.org/wiki/Ford_Mondeo" xr:uid="{00000000-0004-0000-0C00-000022000000}"/>
    <hyperlink ref="B82" r:id="rId36" tooltip="Renault" display="https://en.wikipedia.org/wiki/Renault" xr:uid="{00000000-0004-0000-0C00-000023000000}"/>
    <hyperlink ref="C82" r:id="rId37" tooltip="Renault Talisman" display="https://en.wikipedia.org/wiki/Renault_Talisman" xr:uid="{00000000-0004-0000-0C00-000024000000}"/>
    <hyperlink ref="B87" r:id="rId38" tooltip="Mercedes-Benz" display="https://en.wikipedia.org/wiki/Mercedes-Benz" xr:uid="{00000000-0004-0000-0C00-000025000000}"/>
    <hyperlink ref="C87" r:id="rId39" tooltip="Mercedes-Benz E-Class" display="https://en.wikipedia.org/wiki/Mercedes-Benz_E-Class" xr:uid="{00000000-0004-0000-0C00-000026000000}"/>
    <hyperlink ref="B88" r:id="rId40" tooltip="BMW" display="https://en.wikipedia.org/wiki/BMW" xr:uid="{00000000-0004-0000-0C00-000027000000}"/>
    <hyperlink ref="C88" r:id="rId41" tooltip="BMW 5 Series" display="https://en.wikipedia.org/wiki/BMW_5_Series" xr:uid="{00000000-0004-0000-0C00-000028000000}"/>
    <hyperlink ref="B89" r:id="rId42" tooltip="Audi" display="https://en.wikipedia.org/wiki/Audi" xr:uid="{00000000-0004-0000-0C00-000029000000}"/>
    <hyperlink ref="B90" r:id="rId43" tooltip="Volvo Cars" display="https://en.wikipedia.org/wiki/Volvo_Cars" xr:uid="{00000000-0004-0000-0C00-00002A000000}"/>
    <hyperlink ref="B91" r:id="rId44" tooltip="Tesla, Inc." display="https://en.wikipedia.org/wiki/Tesla,_Inc." xr:uid="{00000000-0004-0000-0C00-00002B000000}"/>
    <hyperlink ref="C91" r:id="rId45" tooltip="Tesla Model S" display="https://en.wikipedia.org/wiki/Tesla_Model_S" xr:uid="{00000000-0004-0000-0C00-00002C000000}"/>
    <hyperlink ref="B96" r:id="rId46" tooltip="Mercedes-Benz" display="https://en.wikipedia.org/wiki/Mercedes-Benz" xr:uid="{00000000-0004-0000-0C00-00002D000000}"/>
    <hyperlink ref="C96" r:id="rId47" tooltip="Mercedes-Benz S-Class" display="https://en.wikipedia.org/wiki/Mercedes-Benz_S-Class" xr:uid="{00000000-0004-0000-0C00-00002E000000}"/>
    <hyperlink ref="B97" r:id="rId48" tooltip="BMW" display="https://en.wikipedia.org/wiki/BMW" xr:uid="{00000000-0004-0000-0C00-00002F000000}"/>
    <hyperlink ref="C97" r:id="rId49" tooltip="BMW 7 Series" display="https://en.wikipedia.org/wiki/BMW_7_Series" xr:uid="{00000000-0004-0000-0C00-000030000000}"/>
    <hyperlink ref="B98" r:id="rId50" tooltip="Porsche" display="https://en.wikipedia.org/wiki/Porsche" xr:uid="{00000000-0004-0000-0C00-000031000000}"/>
    <hyperlink ref="C98" r:id="rId51" tooltip="Porsche Panamera" display="https://en.wikipedia.org/wiki/Porsche_Panamera" xr:uid="{00000000-0004-0000-0C00-000032000000}"/>
    <hyperlink ref="B99" r:id="rId52" tooltip="Audi" display="https://en.wikipedia.org/wiki/Audi" xr:uid="{00000000-0004-0000-0C00-000033000000}"/>
    <hyperlink ref="B100" r:id="rId53" tooltip="Jaguar Cars" display="https://en.wikipedia.org/wiki/Jaguar_Cars" xr:uid="{00000000-0004-0000-0C00-000034000000}"/>
    <hyperlink ref="C100" r:id="rId54" tooltip="Jaguar XJ" display="https://en.wikipedia.org/wiki/Jaguar_XJ" xr:uid="{00000000-0004-0000-0C00-000035000000}"/>
    <hyperlink ref="B104" r:id="rId55" tooltip="Renault" display="https://en.wikipedia.org/wiki/Renault" xr:uid="{00000000-0004-0000-0C00-000036000000}"/>
    <hyperlink ref="C104" r:id="rId56" tooltip="Renault Captur" display="https://en.wikipedia.org/wiki/Renault_Captur" xr:uid="{00000000-0004-0000-0C00-000037000000}"/>
    <hyperlink ref="B105" r:id="rId57" tooltip="Peugeot" display="https://en.wikipedia.org/wiki/Peugeot" xr:uid="{00000000-0004-0000-0C00-000038000000}"/>
    <hyperlink ref="C105" r:id="rId58" tooltip="Peugeot 2008" display="https://en.wikipedia.org/wiki/Peugeot_2008" xr:uid="{00000000-0004-0000-0C00-000039000000}"/>
    <hyperlink ref="C106" r:id="rId59" tooltip="Opel Mokka" display="https://en.wikipedia.org/wiki/Opel_Mokka" xr:uid="{00000000-0004-0000-0C00-00003A000000}"/>
    <hyperlink ref="B107" r:id="rId60" tooltip="Automobile Dacia" display="https://en.wikipedia.org/wiki/Automobile_Dacia" xr:uid="{00000000-0004-0000-0C00-00003B000000}"/>
    <hyperlink ref="C107" r:id="rId61" tooltip="Dacia Duster" display="https://en.wikipedia.org/wiki/Dacia_Duster" xr:uid="{00000000-0004-0000-0C00-00003C000000}"/>
    <hyperlink ref="B108" r:id="rId62" tooltip="Nissan" display="https://en.wikipedia.org/wiki/Nissan" xr:uid="{00000000-0004-0000-0C00-00003D000000}"/>
    <hyperlink ref="C108" r:id="rId63" tooltip="Nissan Juke" display="https://en.wikipedia.org/wiki/Nissan_Juke" xr:uid="{00000000-0004-0000-0C00-00003E000000}"/>
    <hyperlink ref="C112" r:id="rId64" display="http://carsalesbase.com/european-car-sales-data/Nissan/Nissan-Qashqai/" xr:uid="{00000000-0004-0000-0C00-00003F000000}"/>
    <hyperlink ref="C113" r:id="rId65" display="http://carsalesbase.com/european-car-sales-data/Volkswagen/Volkswagen-Tiguan/" xr:uid="{00000000-0004-0000-0C00-000040000000}"/>
    <hyperlink ref="C114" r:id="rId66" display="http://carsalesbase.com/european-car-sales-data/Peugeot/Peugeot-3008/" xr:uid="{00000000-0004-0000-0C00-000041000000}"/>
    <hyperlink ref="C115" r:id="rId67" display="http://carsalesbase.com/european-car-sales-data/Hyundai/Hyundai-tucson/" xr:uid="{00000000-0004-0000-0C00-000042000000}"/>
    <hyperlink ref="C116" r:id="rId68" display="http://carsalesbase.com/european-car-sales-data/Ford/Ford-Kuga/" xr:uid="{00000000-0004-0000-0C00-000043000000}"/>
    <hyperlink ref="A119" r:id="rId69" tooltip="Premium large SUV segment" display="http://carsalesbase.com/car-sales-europe/car-sales-segments/premium-large-suv-segment/" xr:uid="{00000000-0004-0000-0C00-000044000000}"/>
    <hyperlink ref="B120" r:id="rId70" display="http://carsalesbase.com/european-car-sales-data/BMW/BMW-X5/" xr:uid="{00000000-0004-0000-0C00-000045000000}"/>
    <hyperlink ref="B121" r:id="rId71" display="http://carsalesbase.com/european-car-sales-data/Volvo/Volvo-XC90/" xr:uid="{00000000-0004-0000-0C00-000046000000}"/>
    <hyperlink ref="B122" r:id="rId72" display="http://carsalesbase.com/european-car-sales-data/Audi/Audi-Q7/" xr:uid="{00000000-0004-0000-0C00-000047000000}"/>
    <hyperlink ref="B123" r:id="rId73" display="http://carsalesbase.com/european-car-sales-data/Mercedes-Benz/Mercedes-Benz-GLE/" xr:uid="{00000000-0004-0000-0C00-000048000000}"/>
    <hyperlink ref="B124" r:id="rId74" display="http://carsalesbase.com/european-car-sales-data/Land-Rover/Range-Rover-Sport/" xr:uid="{00000000-0004-0000-0C00-000049000000}"/>
  </hyperlinks>
  <pageMargins left="0.7" right="0.7" top="0.75" bottom="0.75" header="0.3" footer="0.3"/>
  <drawing r:id="rId7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sheetPr>
  <dimension ref="A1:N27"/>
  <sheetViews>
    <sheetView showGridLines="0" zoomScaleNormal="100" workbookViewId="0">
      <selection activeCell="K16" sqref="K16"/>
    </sheetView>
  </sheetViews>
  <sheetFormatPr defaultColWidth="11" defaultRowHeight="15.75"/>
  <cols>
    <col min="1" max="1" width="1.25" customWidth="1"/>
    <col min="2" max="2" width="20.75" customWidth="1"/>
    <col min="3" max="3" width="36.75" customWidth="1"/>
    <col min="4" max="11" width="20.75" customWidth="1"/>
    <col min="12" max="12" width="10" customWidth="1"/>
    <col min="13" max="13" width="68.25" customWidth="1"/>
    <col min="14" max="14" width="92.5" customWidth="1"/>
  </cols>
  <sheetData>
    <row r="1" spans="1:14" ht="19.899999999999999" customHeight="1" thickBot="1">
      <c r="A1" s="10"/>
      <c r="B1" s="10"/>
      <c r="C1" s="10"/>
      <c r="D1" s="10"/>
      <c r="E1" s="10"/>
      <c r="F1" s="10"/>
      <c r="G1" s="10"/>
      <c r="H1" s="10"/>
      <c r="I1" s="10"/>
      <c r="J1" s="10"/>
      <c r="K1" s="10"/>
      <c r="L1" s="10"/>
      <c r="M1" s="10"/>
      <c r="N1" s="10"/>
    </row>
    <row r="2" spans="1:14" ht="27" thickBot="1">
      <c r="A2" s="10"/>
      <c r="B2" s="434" t="s">
        <v>0</v>
      </c>
      <c r="C2" s="435"/>
      <c r="D2" s="429" t="s">
        <v>1</v>
      </c>
      <c r="E2" s="430"/>
      <c r="F2" s="430"/>
      <c r="G2" s="431"/>
      <c r="H2" s="429" t="s">
        <v>2</v>
      </c>
      <c r="I2" s="432"/>
      <c r="J2" s="432"/>
      <c r="K2" s="433"/>
      <c r="L2" s="134" t="s">
        <v>3</v>
      </c>
      <c r="M2" s="421" t="s">
        <v>853</v>
      </c>
      <c r="N2" s="422"/>
    </row>
    <row r="3" spans="1:14" ht="27" thickBot="1">
      <c r="A3" s="10"/>
      <c r="B3" s="135"/>
      <c r="C3" s="136" t="s">
        <v>4</v>
      </c>
      <c r="D3" s="137" t="s">
        <v>5</v>
      </c>
      <c r="E3" s="137" t="s">
        <v>6</v>
      </c>
      <c r="F3" s="137" t="s">
        <v>7</v>
      </c>
      <c r="G3" s="137" t="s">
        <v>8</v>
      </c>
      <c r="H3" s="137" t="s">
        <v>5</v>
      </c>
      <c r="I3" s="137" t="s">
        <v>6</v>
      </c>
      <c r="J3" s="137" t="s">
        <v>7</v>
      </c>
      <c r="K3" s="137" t="s">
        <v>8</v>
      </c>
      <c r="L3" s="138"/>
      <c r="M3" s="145" t="s">
        <v>9</v>
      </c>
      <c r="N3" s="145" t="s">
        <v>10</v>
      </c>
    </row>
    <row r="4" spans="1:14" ht="34.9" customHeight="1">
      <c r="A4" s="10"/>
      <c r="B4" s="146" t="s">
        <v>11</v>
      </c>
      <c r="C4" s="147" t="s">
        <v>847</v>
      </c>
      <c r="D4" s="92">
        <v>0</v>
      </c>
      <c r="E4" s="93">
        <v>0</v>
      </c>
      <c r="F4" s="93">
        <v>0</v>
      </c>
      <c r="G4" s="94">
        <v>0</v>
      </c>
      <c r="H4" s="165" t="s">
        <v>13</v>
      </c>
      <c r="I4" s="163" t="s">
        <v>13</v>
      </c>
      <c r="J4" s="163" t="s">
        <v>13</v>
      </c>
      <c r="K4" s="164" t="s">
        <v>13</v>
      </c>
      <c r="L4" s="139">
        <f>SUM(D4:G4)</f>
        <v>0</v>
      </c>
      <c r="M4" s="166" t="s">
        <v>14</v>
      </c>
      <c r="N4" s="167" t="s">
        <v>15</v>
      </c>
    </row>
    <row r="5" spans="1:14" ht="34.9" customHeight="1">
      <c r="A5" s="10"/>
      <c r="B5" s="146" t="s">
        <v>16</v>
      </c>
      <c r="C5" s="147" t="s">
        <v>845</v>
      </c>
      <c r="D5" s="92">
        <v>0</v>
      </c>
      <c r="E5" s="93">
        <v>0</v>
      </c>
      <c r="F5" s="93">
        <v>0</v>
      </c>
      <c r="G5" s="94">
        <v>0</v>
      </c>
      <c r="H5" s="95">
        <v>0</v>
      </c>
      <c r="I5" s="93">
        <v>0</v>
      </c>
      <c r="J5" s="93">
        <v>0</v>
      </c>
      <c r="K5" s="94">
        <v>0</v>
      </c>
      <c r="L5" s="140">
        <f>SUM(D5:K5)</f>
        <v>0</v>
      </c>
      <c r="M5" s="166" t="s">
        <v>18</v>
      </c>
      <c r="N5" s="167" t="s">
        <v>823</v>
      </c>
    </row>
    <row r="6" spans="1:14" ht="34.9" customHeight="1">
      <c r="A6" s="10"/>
      <c r="B6" s="146" t="s">
        <v>19</v>
      </c>
      <c r="C6" s="147" t="s">
        <v>846</v>
      </c>
      <c r="D6" s="92">
        <v>0</v>
      </c>
      <c r="E6" s="109">
        <v>0</v>
      </c>
      <c r="F6" s="93">
        <v>0</v>
      </c>
      <c r="G6" s="94">
        <v>0</v>
      </c>
      <c r="H6" s="95">
        <v>0</v>
      </c>
      <c r="I6" s="93">
        <v>0</v>
      </c>
      <c r="J6" s="93">
        <v>0</v>
      </c>
      <c r="K6" s="94">
        <v>0</v>
      </c>
      <c r="L6" s="139">
        <f>SUM(D6:K6)</f>
        <v>0</v>
      </c>
      <c r="M6" s="166" t="s">
        <v>21</v>
      </c>
      <c r="N6" s="167" t="s">
        <v>827</v>
      </c>
    </row>
    <row r="7" spans="1:14" ht="34.9" customHeight="1">
      <c r="A7" s="10"/>
      <c r="B7" s="146" t="s">
        <v>22</v>
      </c>
      <c r="C7" s="147" t="s">
        <v>841</v>
      </c>
      <c r="D7" s="92">
        <v>0</v>
      </c>
      <c r="E7" s="93">
        <v>0</v>
      </c>
      <c r="F7" s="93">
        <v>0</v>
      </c>
      <c r="G7" s="94">
        <v>0</v>
      </c>
      <c r="H7" s="95">
        <v>0</v>
      </c>
      <c r="I7" s="93">
        <v>0</v>
      </c>
      <c r="J7" s="93">
        <v>0</v>
      </c>
      <c r="K7" s="94">
        <v>0</v>
      </c>
      <c r="L7" s="139">
        <f t="shared" ref="L7:L10" si="0">SUM(D7:K7)</f>
        <v>0</v>
      </c>
      <c r="M7" s="166" t="s">
        <v>24</v>
      </c>
      <c r="N7" s="167" t="s">
        <v>25</v>
      </c>
    </row>
    <row r="8" spans="1:14" ht="34.9" customHeight="1">
      <c r="A8" s="10"/>
      <c r="B8" s="146" t="s">
        <v>26</v>
      </c>
      <c r="C8" s="147" t="s">
        <v>840</v>
      </c>
      <c r="D8" s="92">
        <v>0</v>
      </c>
      <c r="E8" s="93">
        <v>0</v>
      </c>
      <c r="F8" s="93">
        <v>0</v>
      </c>
      <c r="G8" s="94">
        <v>0</v>
      </c>
      <c r="H8" s="95">
        <v>0</v>
      </c>
      <c r="I8" s="93">
        <v>0</v>
      </c>
      <c r="J8" s="93">
        <v>0</v>
      </c>
      <c r="K8" s="94">
        <v>0</v>
      </c>
      <c r="L8" s="139">
        <f t="shared" si="0"/>
        <v>0</v>
      </c>
      <c r="M8" s="166" t="s">
        <v>28</v>
      </c>
      <c r="N8" s="167" t="s">
        <v>29</v>
      </c>
    </row>
    <row r="9" spans="1:14" ht="34.9" customHeight="1">
      <c r="A9" s="10"/>
      <c r="B9" s="146" t="s">
        <v>30</v>
      </c>
      <c r="C9" s="147" t="s">
        <v>842</v>
      </c>
      <c r="D9" s="92">
        <v>0</v>
      </c>
      <c r="E9" s="93">
        <v>0</v>
      </c>
      <c r="F9" s="93">
        <v>0</v>
      </c>
      <c r="G9" s="94">
        <v>0</v>
      </c>
      <c r="H9" s="95">
        <v>0</v>
      </c>
      <c r="I9" s="93">
        <v>0</v>
      </c>
      <c r="J9" s="93">
        <v>0</v>
      </c>
      <c r="K9" s="94">
        <v>0</v>
      </c>
      <c r="L9" s="139">
        <f t="shared" si="0"/>
        <v>0</v>
      </c>
      <c r="M9" s="166" t="s">
        <v>32</v>
      </c>
      <c r="N9" s="167" t="s">
        <v>29</v>
      </c>
    </row>
    <row r="10" spans="1:14" ht="34.9" customHeight="1">
      <c r="A10" s="10"/>
      <c r="B10" s="146" t="s">
        <v>33</v>
      </c>
      <c r="C10" s="147" t="s">
        <v>843</v>
      </c>
      <c r="D10" s="92">
        <v>0</v>
      </c>
      <c r="E10" s="93">
        <v>0</v>
      </c>
      <c r="F10" s="93">
        <v>0</v>
      </c>
      <c r="G10" s="94">
        <v>0</v>
      </c>
      <c r="H10" s="95">
        <v>0</v>
      </c>
      <c r="I10" s="93">
        <v>0</v>
      </c>
      <c r="J10" s="93">
        <v>0</v>
      </c>
      <c r="K10" s="94">
        <v>0</v>
      </c>
      <c r="L10" s="139">
        <f t="shared" si="0"/>
        <v>0</v>
      </c>
      <c r="M10" s="166" t="s">
        <v>35</v>
      </c>
      <c r="N10" s="167" t="s">
        <v>36</v>
      </c>
    </row>
    <row r="11" spans="1:14" ht="34.9" customHeight="1" thickBot="1">
      <c r="A11" s="10"/>
      <c r="B11" s="148" t="s">
        <v>37</v>
      </c>
      <c r="C11" s="149" t="s">
        <v>844</v>
      </c>
      <c r="D11" s="92">
        <v>0</v>
      </c>
      <c r="E11" s="93">
        <v>0</v>
      </c>
      <c r="F11" s="93">
        <v>0</v>
      </c>
      <c r="G11" s="94">
        <v>0</v>
      </c>
      <c r="H11" s="95">
        <v>0</v>
      </c>
      <c r="I11" s="93">
        <v>0</v>
      </c>
      <c r="J11" s="93">
        <v>0</v>
      </c>
      <c r="K11" s="94">
        <v>0</v>
      </c>
      <c r="L11" s="139">
        <f>SUM(D11:K11)</f>
        <v>0</v>
      </c>
      <c r="M11" s="166" t="s">
        <v>39</v>
      </c>
      <c r="N11" s="167" t="s">
        <v>856</v>
      </c>
    </row>
    <row r="12" spans="1:14" ht="34.9" customHeight="1" thickBot="1">
      <c r="A12" s="10"/>
      <c r="B12" s="129"/>
      <c r="C12" s="130"/>
      <c r="D12" s="131"/>
      <c r="E12" s="132"/>
      <c r="F12" s="132"/>
      <c r="G12" s="133"/>
      <c r="H12" s="132"/>
      <c r="I12" s="132"/>
      <c r="J12" s="132"/>
      <c r="K12" s="133"/>
      <c r="L12" s="143"/>
      <c r="M12" s="144"/>
      <c r="N12" s="130"/>
    </row>
    <row r="13" spans="1:14" ht="34.9" customHeight="1">
      <c r="A13" s="10"/>
      <c r="B13" s="150" t="s">
        <v>176</v>
      </c>
      <c r="C13" s="147" t="s">
        <v>41</v>
      </c>
      <c r="D13" s="162" t="s">
        <v>13</v>
      </c>
      <c r="E13" s="163" t="s">
        <v>13</v>
      </c>
      <c r="F13" s="163" t="s">
        <v>13</v>
      </c>
      <c r="G13" s="164" t="s">
        <v>13</v>
      </c>
      <c r="H13" s="95">
        <v>0</v>
      </c>
      <c r="I13" s="93">
        <v>0</v>
      </c>
      <c r="J13" s="93">
        <v>0</v>
      </c>
      <c r="K13" s="94">
        <v>0</v>
      </c>
      <c r="L13" s="140">
        <f>SUM(H13:K13)</f>
        <v>0</v>
      </c>
      <c r="M13" s="166" t="s">
        <v>42</v>
      </c>
      <c r="N13" s="168" t="s">
        <v>43</v>
      </c>
    </row>
    <row r="14" spans="1:14" ht="34.9" customHeight="1">
      <c r="A14" s="10"/>
      <c r="B14" s="150" t="s">
        <v>177</v>
      </c>
      <c r="C14" s="147" t="s">
        <v>44</v>
      </c>
      <c r="D14" s="162" t="s">
        <v>13</v>
      </c>
      <c r="E14" s="163" t="s">
        <v>13</v>
      </c>
      <c r="F14" s="163" t="s">
        <v>13</v>
      </c>
      <c r="G14" s="164" t="s">
        <v>13</v>
      </c>
      <c r="H14" s="95">
        <v>0</v>
      </c>
      <c r="I14" s="93">
        <v>0</v>
      </c>
      <c r="J14" s="93">
        <v>0</v>
      </c>
      <c r="K14" s="94">
        <v>0</v>
      </c>
      <c r="L14" s="140">
        <f t="shared" ref="L14:L15" si="1">SUM(H14:K14)</f>
        <v>0</v>
      </c>
      <c r="M14" s="166" t="s">
        <v>45</v>
      </c>
      <c r="N14" s="167" t="s">
        <v>46</v>
      </c>
    </row>
    <row r="15" spans="1:14" ht="34.9" customHeight="1" thickBot="1">
      <c r="A15" s="10"/>
      <c r="B15" s="151" t="s">
        <v>178</v>
      </c>
      <c r="C15" s="149" t="s">
        <v>47</v>
      </c>
      <c r="D15" s="162" t="s">
        <v>13</v>
      </c>
      <c r="E15" s="163" t="s">
        <v>13</v>
      </c>
      <c r="F15" s="163" t="s">
        <v>13</v>
      </c>
      <c r="G15" s="164" t="s">
        <v>13</v>
      </c>
      <c r="H15" s="95">
        <v>0</v>
      </c>
      <c r="I15" s="93">
        <v>0</v>
      </c>
      <c r="J15" s="93">
        <v>0</v>
      </c>
      <c r="K15" s="94">
        <v>0</v>
      </c>
      <c r="L15" s="140">
        <f t="shared" si="1"/>
        <v>0</v>
      </c>
      <c r="M15" s="169" t="s">
        <v>48</v>
      </c>
      <c r="N15" s="170" t="s">
        <v>49</v>
      </c>
    </row>
    <row r="16" spans="1:14" ht="34.9" customHeight="1" thickBot="1">
      <c r="A16" s="10"/>
      <c r="B16" s="134" t="s">
        <v>3</v>
      </c>
      <c r="C16" s="142"/>
      <c r="D16" s="363">
        <f>SUM(D4:D11)</f>
        <v>0</v>
      </c>
      <c r="E16" s="363">
        <f>SUM(E4:E11)</f>
        <v>0</v>
      </c>
      <c r="F16" s="363">
        <f>SUM(F4:F11)</f>
        <v>0</v>
      </c>
      <c r="G16" s="363">
        <f>SUM(G4:G11)</f>
        <v>0</v>
      </c>
      <c r="H16" s="363">
        <f>SUM(H13:H15,H5:H11)</f>
        <v>0</v>
      </c>
      <c r="I16" s="363">
        <f>SUM(I13:I15,I5:I11)</f>
        <v>0</v>
      </c>
      <c r="J16" s="363">
        <f>SUM(J13:J15,J5:J11)</f>
        <v>0</v>
      </c>
      <c r="K16" s="141">
        <f>SUM(K13:K15,K5:K11)</f>
        <v>0</v>
      </c>
      <c r="L16" s="141">
        <f>SUM(L13:L15,L4:L11)</f>
        <v>0</v>
      </c>
      <c r="M16" s="96"/>
      <c r="N16" s="96"/>
    </row>
    <row r="17" spans="1:14" ht="16.5" thickBot="1">
      <c r="A17" s="10"/>
      <c r="B17" s="10"/>
      <c r="C17" s="10"/>
      <c r="D17" s="10"/>
      <c r="E17" s="10"/>
      <c r="F17" s="10"/>
      <c r="G17" s="10"/>
      <c r="H17" s="10"/>
      <c r="I17" s="10"/>
      <c r="J17" s="10"/>
      <c r="K17" s="10"/>
      <c r="L17" s="10"/>
      <c r="M17" s="10"/>
      <c r="N17" s="10"/>
    </row>
    <row r="18" spans="1:14" ht="36.75" thickBot="1">
      <c r="A18" s="10"/>
      <c r="B18" s="423" t="s">
        <v>50</v>
      </c>
      <c r="C18" s="424"/>
      <c r="D18" s="424"/>
      <c r="E18" s="424"/>
      <c r="F18" s="424"/>
      <c r="G18" s="424"/>
      <c r="H18" s="424"/>
      <c r="I18" s="424"/>
      <c r="J18" s="425"/>
      <c r="K18" s="10"/>
      <c r="L18" s="10"/>
      <c r="M18" s="10"/>
      <c r="N18" s="10"/>
    </row>
    <row r="19" spans="1:14" ht="46.9" customHeight="1" thickBot="1">
      <c r="A19" s="10"/>
      <c r="B19" s="426" t="s">
        <v>51</v>
      </c>
      <c r="C19" s="427"/>
      <c r="D19" s="427"/>
      <c r="E19" s="427"/>
      <c r="F19" s="427"/>
      <c r="G19" s="427"/>
      <c r="H19" s="427"/>
      <c r="I19" s="427"/>
      <c r="J19" s="428"/>
      <c r="K19" s="10"/>
      <c r="L19" s="10"/>
      <c r="M19" s="10"/>
      <c r="N19" s="10"/>
    </row>
    <row r="20" spans="1:14" ht="36" customHeight="1">
      <c r="A20" s="11"/>
      <c r="B20" s="417" t="s">
        <v>836</v>
      </c>
      <c r="C20" s="418"/>
      <c r="D20" s="419" t="s">
        <v>52</v>
      </c>
      <c r="E20" s="419"/>
      <c r="F20" s="419"/>
      <c r="G20" s="419"/>
      <c r="H20" s="419"/>
      <c r="I20" s="419"/>
      <c r="J20" s="420"/>
      <c r="K20" s="11"/>
      <c r="L20" s="11"/>
      <c r="M20" s="11"/>
      <c r="N20" s="11"/>
    </row>
    <row r="21" spans="1:14" ht="36" customHeight="1">
      <c r="A21" s="11"/>
      <c r="B21" s="417" t="s">
        <v>53</v>
      </c>
      <c r="C21" s="418"/>
      <c r="D21" s="419" t="s">
        <v>54</v>
      </c>
      <c r="E21" s="419"/>
      <c r="F21" s="419"/>
      <c r="G21" s="419"/>
      <c r="H21" s="419"/>
      <c r="I21" s="419"/>
      <c r="J21" s="420"/>
      <c r="K21" s="11"/>
      <c r="L21" s="11"/>
      <c r="M21" s="11"/>
      <c r="N21" s="11"/>
    </row>
    <row r="22" spans="1:14" ht="36" customHeight="1">
      <c r="A22" s="11"/>
      <c r="B22" s="417" t="s">
        <v>857</v>
      </c>
      <c r="C22" s="418"/>
      <c r="D22" s="419" t="s">
        <v>858</v>
      </c>
      <c r="E22" s="419"/>
      <c r="F22" s="419"/>
      <c r="G22" s="419"/>
      <c r="H22" s="419"/>
      <c r="I22" s="419"/>
      <c r="J22" s="420"/>
      <c r="K22" s="11"/>
      <c r="L22" s="11"/>
      <c r="M22" s="11"/>
      <c r="N22" s="11"/>
    </row>
    <row r="23" spans="1:14" ht="36" customHeight="1" thickBot="1">
      <c r="A23" s="11"/>
      <c r="B23" s="413" t="s">
        <v>56</v>
      </c>
      <c r="C23" s="414"/>
      <c r="D23" s="415" t="s">
        <v>57</v>
      </c>
      <c r="E23" s="415"/>
      <c r="F23" s="415"/>
      <c r="G23" s="415"/>
      <c r="H23" s="415"/>
      <c r="I23" s="415"/>
      <c r="J23" s="416"/>
      <c r="K23" s="11"/>
      <c r="L23" s="11"/>
      <c r="M23" s="11"/>
      <c r="N23" s="11"/>
    </row>
    <row r="27" spans="1:14" ht="21">
      <c r="B27" s="106"/>
    </row>
  </sheetData>
  <sheetProtection algorithmName="SHA-512" hashValue="udAnb8JfvkyhDxlYbEY+R8B71pB5nC2orTxeTi7v7MRRTJvSQSZrjZ+AAKY6Vsqb4g6Ew3rjOiWRO6qiKuQRZA==" saltValue="R6XebK0mBKOgo7lPdltsxQ==" spinCount="100000" sheet="1" objects="1" scenarios="1"/>
  <mergeCells count="14">
    <mergeCell ref="M2:N2"/>
    <mergeCell ref="B18:J18"/>
    <mergeCell ref="B19:J19"/>
    <mergeCell ref="B20:C20"/>
    <mergeCell ref="D20:J20"/>
    <mergeCell ref="D2:G2"/>
    <mergeCell ref="H2:K2"/>
    <mergeCell ref="B2:C2"/>
    <mergeCell ref="B23:C23"/>
    <mergeCell ref="D23:J23"/>
    <mergeCell ref="B21:C21"/>
    <mergeCell ref="D21:J21"/>
    <mergeCell ref="B22:C22"/>
    <mergeCell ref="D22:J22"/>
  </mergeCells>
  <dataValidations count="1">
    <dataValidation type="whole" allowBlank="1" showInputMessage="1" showErrorMessage="1" sqref="L12:L16 L5 H5:K16 D4:G12" xr:uid="{00000000-0002-0000-0100-000000000000}">
      <formula1>0</formula1>
      <formula2>200</formula2>
    </dataValidation>
  </dataValidations>
  <hyperlinks>
    <hyperlink ref="D23" r:id="rId1" xr:uid="{00000000-0004-0000-0100-000000000000}"/>
    <hyperlink ref="D20" r:id="rId2" xr:uid="{00000000-0004-0000-0100-000001000000}"/>
    <hyperlink ref="D23:J23" r:id="rId3" tooltip="ANWB, Top 10 elektrische bestelauto's" display="https://www.anwb.nl/zakelijk/nieuws/2017/juli/top10-elektrische-bestelautos-2017" xr:uid="{00000000-0004-0000-0100-000002000000}"/>
    <hyperlink ref="D21" r:id="rId4" xr:uid="{00000000-0004-0000-0100-000003000000}"/>
    <hyperlink ref="D21:J21" r:id="rId5" tooltip="ANWB, Overzicht elektrische voertuigen" display="https://www.anwb.nl/auto/themas/elektrisch-rijden/elektrische-autos/welke-autos-zijn-er/welke-autos-zijn-er" xr:uid="{00000000-0004-0000-0100-000004000000}"/>
    <hyperlink ref="D20:J20" r:id="rId6" tooltip="AutoRai, Autosegmenten" display="https://autorai.nl/duidelijkheid-over-autosegmenten/" xr:uid="{00000000-0004-0000-0100-000005000000}"/>
    <hyperlink ref="D22" r:id="rId7" xr:uid="{00000000-0004-0000-0100-000006000000}"/>
    <hyperlink ref="D22:J22" r:id="rId8" tooltip="Mobiliteit in cijfers: Auto's 2017 - 2018" display="https://bovagrai.info/auto/2017/" xr:uid="{00000000-0004-0000-0100-000007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sheetPr>
  <dimension ref="A1:M145"/>
  <sheetViews>
    <sheetView showGridLines="0" topLeftCell="A37" zoomScaleNormal="100" workbookViewId="0">
      <selection activeCell="C145" sqref="C145"/>
    </sheetView>
  </sheetViews>
  <sheetFormatPr defaultColWidth="10.75" defaultRowHeight="15.75"/>
  <cols>
    <col min="1" max="1" width="2.75" style="10" customWidth="1"/>
    <col min="2" max="2" width="75.75" style="10" customWidth="1"/>
    <col min="3" max="3" width="18.75" style="10" customWidth="1"/>
    <col min="4" max="4" width="13" style="10" customWidth="1"/>
    <col min="5" max="5" width="10.75" style="10"/>
    <col min="6" max="6" width="78.5" style="10" customWidth="1"/>
    <col min="7" max="7" width="8.75" style="10" customWidth="1"/>
    <col min="8" max="8" width="16" style="10" customWidth="1"/>
    <col min="9" max="9" width="1.75" style="10" customWidth="1"/>
    <col min="10" max="10" width="0.25" style="10" customWidth="1"/>
    <col min="11" max="11" width="10.75" style="10" customWidth="1"/>
    <col min="12" max="16384" width="10.75" style="10"/>
  </cols>
  <sheetData>
    <row r="1" spans="2:8" ht="24" customHeight="1" thickBot="1"/>
    <row r="2" spans="2:8" ht="27" thickBot="1">
      <c r="B2" s="410" t="s">
        <v>58</v>
      </c>
      <c r="C2" s="411"/>
      <c r="D2" s="411"/>
      <c r="E2" s="411"/>
      <c r="F2" s="412"/>
    </row>
    <row r="3" spans="2:8" ht="409.15" customHeight="1">
      <c r="B3" s="390" t="s">
        <v>824</v>
      </c>
      <c r="C3" s="391"/>
      <c r="D3" s="391"/>
      <c r="E3" s="391"/>
      <c r="F3" s="392"/>
    </row>
    <row r="4" spans="2:8" ht="19.149999999999999" customHeight="1" thickBot="1">
      <c r="B4" s="450"/>
      <c r="C4" s="451"/>
      <c r="D4" s="451"/>
      <c r="E4" s="451"/>
      <c r="F4" s="452"/>
    </row>
    <row r="5" spans="2:8" ht="24" customHeight="1" thickBot="1"/>
    <row r="6" spans="2:8" ht="27" thickBot="1">
      <c r="B6" s="410" t="s">
        <v>59</v>
      </c>
      <c r="C6" s="436"/>
      <c r="D6" s="437"/>
    </row>
    <row r="7" spans="2:8" s="14" customFormat="1" ht="24" customHeight="1">
      <c r="B7" s="97" t="s">
        <v>810</v>
      </c>
      <c r="C7" s="110">
        <v>5</v>
      </c>
      <c r="D7" s="98" t="s">
        <v>60</v>
      </c>
    </row>
    <row r="8" spans="2:8" s="14" customFormat="1" ht="24" customHeight="1">
      <c r="B8" s="97" t="s">
        <v>811</v>
      </c>
      <c r="C8" s="110" t="s">
        <v>61</v>
      </c>
      <c r="D8" s="98"/>
      <c r="H8" s="91"/>
    </row>
    <row r="9" spans="2:8" s="14" customFormat="1" ht="24" customHeight="1">
      <c r="B9" s="97" t="s">
        <v>812</v>
      </c>
      <c r="C9" s="111" t="s">
        <v>62</v>
      </c>
      <c r="D9" s="98"/>
    </row>
    <row r="10" spans="2:8" s="14" customFormat="1" ht="24" customHeight="1">
      <c r="B10" s="97" t="s">
        <v>813</v>
      </c>
      <c r="C10" s="110" t="s">
        <v>63</v>
      </c>
      <c r="D10" s="98"/>
    </row>
    <row r="11" spans="2:8" s="14" customFormat="1" ht="24" customHeight="1">
      <c r="B11" s="97"/>
      <c r="C11" s="117"/>
      <c r="D11" s="98"/>
    </row>
    <row r="12" spans="2:8" s="14" customFormat="1" ht="24" customHeight="1">
      <c r="B12" s="97" t="s">
        <v>814</v>
      </c>
      <c r="C12" s="112">
        <v>0.9</v>
      </c>
      <c r="D12" s="98" t="s">
        <v>803</v>
      </c>
    </row>
    <row r="13" spans="2:8" s="14" customFormat="1" ht="24" customHeight="1">
      <c r="B13" s="97" t="s">
        <v>815</v>
      </c>
      <c r="C13" s="112">
        <v>0.1</v>
      </c>
      <c r="D13" s="98" t="s">
        <v>803</v>
      </c>
    </row>
    <row r="14" spans="2:8" s="14" customFormat="1" ht="24" customHeight="1">
      <c r="B14" s="97" t="s">
        <v>818</v>
      </c>
      <c r="C14" s="113">
        <f>IF((C12+C13)&gt;100%,"ERROR",100%-C12-C13)</f>
        <v>-2.7755575615628914E-17</v>
      </c>
      <c r="D14" s="98" t="s">
        <v>803</v>
      </c>
    </row>
    <row r="15" spans="2:8" s="14" customFormat="1" ht="24" customHeight="1">
      <c r="B15" s="97"/>
      <c r="C15" s="113"/>
      <c r="D15" s="98"/>
    </row>
    <row r="16" spans="2:8" s="14" customFormat="1" ht="24" customHeight="1">
      <c r="B16" s="97" t="s">
        <v>816</v>
      </c>
      <c r="C16" s="112" t="s">
        <v>63</v>
      </c>
      <c r="D16" s="98"/>
    </row>
    <row r="17" spans="1:13" s="14" customFormat="1" ht="24" customHeight="1" thickBot="1">
      <c r="B17" s="99" t="s">
        <v>817</v>
      </c>
      <c r="C17" s="127"/>
      <c r="D17" s="100" t="s">
        <v>803</v>
      </c>
      <c r="F17" s="11" t="s">
        <v>830</v>
      </c>
    </row>
    <row r="18" spans="1:13" s="14" customFormat="1" ht="24" customHeight="1">
      <c r="B18" s="102"/>
      <c r="C18" s="101"/>
      <c r="D18" s="103"/>
      <c r="E18" s="104"/>
    </row>
    <row r="19" spans="1:13" ht="24" customHeight="1">
      <c r="B19" s="11" t="s">
        <v>819</v>
      </c>
    </row>
    <row r="20" spans="1:13" ht="24" customHeight="1">
      <c r="B20" s="11" t="s">
        <v>828</v>
      </c>
    </row>
    <row r="21" spans="1:13" ht="24" customHeight="1">
      <c r="B21" s="96" t="s">
        <v>821</v>
      </c>
    </row>
    <row r="22" spans="1:13" ht="24" customHeight="1" thickBot="1">
      <c r="B22" s="96"/>
    </row>
    <row r="23" spans="1:13" ht="46.15" customHeight="1" thickBot="1">
      <c r="B23" s="453" t="s">
        <v>64</v>
      </c>
      <c r="C23" s="454"/>
      <c r="D23" s="454"/>
      <c r="E23" s="454"/>
      <c r="F23" s="454"/>
      <c r="G23" s="454"/>
      <c r="H23" s="454"/>
      <c r="I23" s="454"/>
      <c r="J23" s="455"/>
    </row>
    <row r="24" spans="1:13" ht="69" customHeight="1" thickBot="1">
      <c r="A24" s="107"/>
      <c r="B24" s="456" t="s">
        <v>860</v>
      </c>
      <c r="C24" s="457"/>
      <c r="D24" s="457"/>
      <c r="E24" s="457"/>
      <c r="F24" s="457"/>
      <c r="G24" s="457"/>
      <c r="H24" s="457"/>
      <c r="I24" s="457"/>
      <c r="J24" s="458"/>
      <c r="K24" s="107"/>
      <c r="L24" s="107"/>
      <c r="M24" s="107"/>
    </row>
    <row r="25" spans="1:13" ht="24" customHeight="1" thickBot="1"/>
    <row r="26" spans="1:13" ht="39" customHeight="1" thickBot="1">
      <c r="B26" s="396" t="s">
        <v>825</v>
      </c>
      <c r="C26" s="440"/>
      <c r="D26" s="441"/>
    </row>
    <row r="27" spans="1:13" ht="24" customHeight="1" thickBot="1">
      <c r="B27" s="191" t="s">
        <v>65</v>
      </c>
      <c r="C27" s="223">
        <f>IF(C16="ja",C17,IF(looptijd=1,Rest_1,IF(looptijd=2,Rest_2,IF(looptijd=3,Rest_3,IF(looptijd=4,Rest_4,IF(looptijd=5,Rest_5,IF(looptijd=6,Rest_6,IF(looptijd=7,Rest_7,IF(looptijd=8,Rest_8,IF(looptijd=9,Rest_9,IF(looptijd=10,Rest_10,"")))))))))))</f>
        <v>0.3</v>
      </c>
      <c r="D27" s="222"/>
    </row>
    <row r="28" spans="1:13" ht="24" customHeight="1">
      <c r="B28" s="210" t="s">
        <v>66</v>
      </c>
      <c r="C28" s="11"/>
    </row>
    <row r="29" spans="1:13" ht="24" customHeight="1">
      <c r="B29" s="11" t="s">
        <v>67</v>
      </c>
      <c r="C29" s="211" t="s">
        <v>68</v>
      </c>
    </row>
    <row r="30" spans="1:13" ht="24" customHeight="1" thickBot="1"/>
    <row r="31" spans="1:13" ht="39" customHeight="1" thickBot="1">
      <c r="B31" s="396" t="s">
        <v>278</v>
      </c>
      <c r="C31" s="440"/>
      <c r="D31" s="441"/>
    </row>
    <row r="32" spans="1:13" ht="24" customHeight="1" thickBot="1">
      <c r="B32" s="212" t="s">
        <v>69</v>
      </c>
      <c r="C32" s="213" t="s">
        <v>70</v>
      </c>
      <c r="D32" s="214"/>
    </row>
    <row r="33" spans="2:8" ht="24" customHeight="1">
      <c r="B33" s="215" t="s">
        <v>71</v>
      </c>
      <c r="C33" s="216">
        <v>2.74</v>
      </c>
      <c r="D33" s="217"/>
    </row>
    <row r="34" spans="2:8" ht="24" customHeight="1">
      <c r="B34" s="215" t="s">
        <v>72</v>
      </c>
      <c r="C34" s="218">
        <v>3.23</v>
      </c>
      <c r="D34" s="217"/>
    </row>
    <row r="35" spans="2:8" ht="24" customHeight="1">
      <c r="B35" s="215" t="s">
        <v>73</v>
      </c>
      <c r="C35" s="219">
        <v>0.41299999999999998</v>
      </c>
      <c r="D35" s="217"/>
    </row>
    <row r="36" spans="2:8" ht="24" customHeight="1">
      <c r="B36" s="215" t="s">
        <v>74</v>
      </c>
      <c r="C36" s="219">
        <v>0.64900000000000002</v>
      </c>
      <c r="D36" s="217"/>
    </row>
    <row r="37" spans="2:8" ht="24" customHeight="1">
      <c r="B37" s="215" t="s">
        <v>75</v>
      </c>
      <c r="C37" s="218">
        <v>0</v>
      </c>
      <c r="D37" s="217"/>
    </row>
    <row r="38" spans="2:8" ht="24" customHeight="1" thickBot="1">
      <c r="B38" s="220" t="s">
        <v>76</v>
      </c>
      <c r="C38" s="221">
        <f>IF('2. Invoer parameters'!$C$8="Energie mix",Efac_elek_mix_WTW,IF('2. Invoer parameters'!$C$8="Grijze stroom",Efac_elek_grijs_WTW,IF('2. Invoer parameters'!$C$8="groene stroom",Efac_elek_groen_WTW,"ERROR")))</f>
        <v>0</v>
      </c>
      <c r="D38" s="222"/>
      <c r="F38" s="108"/>
    </row>
    <row r="39" spans="2:8" ht="24" customHeight="1">
      <c r="B39" s="209" t="s">
        <v>77</v>
      </c>
    </row>
    <row r="40" spans="2:8" ht="24" customHeight="1">
      <c r="B40" s="208" t="s">
        <v>78</v>
      </c>
    </row>
    <row r="41" spans="2:8" ht="24" customHeight="1">
      <c r="B41" s="208" t="s">
        <v>79</v>
      </c>
    </row>
    <row r="42" spans="2:8" ht="24" customHeight="1">
      <c r="B42" s="210" t="s">
        <v>66</v>
      </c>
    </row>
    <row r="43" spans="2:8" ht="24" customHeight="1">
      <c r="B43" s="11" t="s">
        <v>80</v>
      </c>
      <c r="C43" s="211" t="s">
        <v>81</v>
      </c>
    </row>
    <row r="44" spans="2:8" ht="24" customHeight="1" thickBot="1"/>
    <row r="45" spans="2:8" ht="39" customHeight="1" thickBot="1">
      <c r="B45" s="396" t="s">
        <v>82</v>
      </c>
      <c r="C45" s="440"/>
      <c r="D45" s="440"/>
      <c r="E45" s="440"/>
      <c r="F45" s="440"/>
      <c r="G45" s="440"/>
      <c r="H45" s="441"/>
    </row>
    <row r="46" spans="2:8" ht="24" customHeight="1" thickBot="1">
      <c r="B46" s="212" t="s">
        <v>83</v>
      </c>
      <c r="C46" s="445" t="s">
        <v>84</v>
      </c>
      <c r="D46" s="446"/>
      <c r="E46" s="446"/>
      <c r="F46" s="447"/>
      <c r="G46" s="445" t="s">
        <v>85</v>
      </c>
      <c r="H46" s="447"/>
    </row>
    <row r="47" spans="2:8" ht="24" customHeight="1">
      <c r="B47" s="189" t="s">
        <v>86</v>
      </c>
      <c r="C47" s="189">
        <v>5.9</v>
      </c>
      <c r="D47" s="224" t="s">
        <v>87</v>
      </c>
      <c r="E47" s="225">
        <f>(1/C47)*100</f>
        <v>16.949152542372879</v>
      </c>
      <c r="F47" s="217" t="s">
        <v>88</v>
      </c>
      <c r="G47" s="224">
        <v>135</v>
      </c>
      <c r="H47" s="217" t="s">
        <v>89</v>
      </c>
    </row>
    <row r="48" spans="2:8" ht="24" customHeight="1">
      <c r="B48" s="189" t="s">
        <v>90</v>
      </c>
      <c r="C48" s="189">
        <v>4.4000000000000004</v>
      </c>
      <c r="D48" s="224" t="s">
        <v>87</v>
      </c>
      <c r="E48" s="225">
        <f>(1/C48)*100</f>
        <v>22.727272727272727</v>
      </c>
      <c r="F48" s="217" t="s">
        <v>88</v>
      </c>
      <c r="G48" s="224">
        <v>115</v>
      </c>
      <c r="H48" s="217" t="s">
        <v>89</v>
      </c>
    </row>
    <row r="49" spans="2:13" ht="24" customHeight="1">
      <c r="B49" s="189" t="s">
        <v>91</v>
      </c>
      <c r="C49" s="189">
        <v>16.7</v>
      </c>
      <c r="D49" s="224" t="s">
        <v>92</v>
      </c>
      <c r="E49" s="225">
        <f>(1/C49)*100</f>
        <v>5.9880239520958085</v>
      </c>
      <c r="F49" s="217" t="s">
        <v>93</v>
      </c>
      <c r="G49" s="226"/>
      <c r="H49" s="217"/>
    </row>
    <row r="50" spans="2:13" ht="24" customHeight="1">
      <c r="B50" s="189"/>
      <c r="C50" s="189"/>
      <c r="D50" s="224"/>
      <c r="E50" s="225"/>
      <c r="F50" s="217"/>
      <c r="G50" s="224"/>
      <c r="H50" s="217"/>
    </row>
    <row r="51" spans="2:13" ht="24" customHeight="1">
      <c r="B51" s="189" t="s">
        <v>94</v>
      </c>
      <c r="C51" s="189">
        <v>5.6</v>
      </c>
      <c r="D51" s="224" t="s">
        <v>87</v>
      </c>
      <c r="E51" s="225">
        <f>(1/C51)*100</f>
        <v>17.857142857142858</v>
      </c>
      <c r="F51" s="217" t="s">
        <v>88</v>
      </c>
      <c r="G51" s="224">
        <v>148</v>
      </c>
      <c r="H51" s="217" t="s">
        <v>89</v>
      </c>
    </row>
    <row r="52" spans="2:13" ht="24" customHeight="1" thickBot="1">
      <c r="B52" s="191" t="s">
        <v>95</v>
      </c>
      <c r="C52" s="191">
        <v>25.9</v>
      </c>
      <c r="D52" s="227" t="s">
        <v>92</v>
      </c>
      <c r="E52" s="228">
        <f>(1/C52)*100</f>
        <v>3.8610038610038608</v>
      </c>
      <c r="F52" s="222" t="s">
        <v>93</v>
      </c>
      <c r="G52" s="227"/>
      <c r="H52" s="222"/>
    </row>
    <row r="53" spans="2:13" ht="46.9" customHeight="1" thickBot="1">
      <c r="B53" s="459" t="s">
        <v>861</v>
      </c>
      <c r="C53" s="460"/>
      <c r="D53" s="460"/>
      <c r="E53" s="460"/>
      <c r="F53" s="460"/>
      <c r="G53" s="460"/>
      <c r="H53" s="214"/>
    </row>
    <row r="54" spans="2:13" ht="16.149999999999999" customHeight="1">
      <c r="B54" s="232"/>
      <c r="C54" s="231"/>
      <c r="D54" s="231"/>
      <c r="E54" s="231"/>
      <c r="F54" s="231"/>
      <c r="G54" s="231"/>
      <c r="H54" s="233"/>
    </row>
    <row r="55" spans="2:13" ht="24" customHeight="1">
      <c r="B55" s="209" t="s">
        <v>77</v>
      </c>
    </row>
    <row r="56" spans="2:13" ht="18.75">
      <c r="B56" s="448" t="s">
        <v>862</v>
      </c>
      <c r="C56" s="449"/>
      <c r="D56" s="449"/>
      <c r="E56" s="449"/>
      <c r="F56" s="449"/>
      <c r="G56" s="449"/>
      <c r="H56" s="449"/>
      <c r="I56" s="449"/>
      <c r="J56" s="449"/>
      <c r="K56" s="449"/>
      <c r="L56" s="449"/>
      <c r="M56" s="449"/>
    </row>
    <row r="57" spans="2:13" ht="49.15" customHeight="1">
      <c r="B57" s="448" t="s">
        <v>96</v>
      </c>
      <c r="C57" s="461"/>
      <c r="D57" s="461"/>
      <c r="E57" s="461"/>
      <c r="F57" s="461"/>
      <c r="G57" s="461"/>
      <c r="H57" s="461"/>
      <c r="I57" s="234"/>
      <c r="J57" s="234"/>
      <c r="K57" s="234"/>
      <c r="L57" s="234"/>
      <c r="M57" s="234"/>
    </row>
    <row r="58" spans="2:13" ht="99" customHeight="1">
      <c r="B58" s="462" t="s">
        <v>97</v>
      </c>
      <c r="C58" s="463"/>
      <c r="D58" s="463"/>
      <c r="E58" s="463"/>
      <c r="F58" s="463"/>
      <c r="G58" s="463"/>
      <c r="H58" s="463"/>
      <c r="I58" s="128"/>
      <c r="J58" s="128"/>
      <c r="K58" s="128"/>
      <c r="L58" s="128"/>
      <c r="M58" s="128"/>
    </row>
    <row r="59" spans="2:13" ht="24" customHeight="1">
      <c r="B59" s="438" t="s">
        <v>98</v>
      </c>
      <c r="C59" s="439"/>
      <c r="D59" s="439"/>
      <c r="E59" s="439"/>
      <c r="F59" s="439"/>
      <c r="G59" s="439"/>
      <c r="H59" s="439"/>
      <c r="I59" s="439"/>
      <c r="J59" s="439"/>
      <c r="K59" s="439"/>
      <c r="L59" s="439"/>
      <c r="M59" s="439"/>
    </row>
    <row r="60" spans="2:13" ht="24" customHeight="1">
      <c r="B60" s="438" t="s">
        <v>99</v>
      </c>
      <c r="C60" s="439"/>
      <c r="D60" s="439"/>
      <c r="E60" s="439"/>
      <c r="F60" s="439"/>
      <c r="G60" s="439"/>
      <c r="H60" s="439"/>
      <c r="I60" s="439"/>
      <c r="J60" s="439"/>
      <c r="K60" s="439"/>
      <c r="L60" s="439"/>
      <c r="M60" s="439"/>
    </row>
    <row r="61" spans="2:13" ht="24" customHeight="1">
      <c r="B61" s="438" t="s">
        <v>100</v>
      </c>
      <c r="C61" s="439"/>
      <c r="D61" s="439"/>
      <c r="E61" s="439"/>
      <c r="F61" s="439"/>
      <c r="G61" s="439"/>
      <c r="H61" s="439"/>
      <c r="I61" s="439"/>
      <c r="J61" s="439"/>
      <c r="K61" s="439"/>
      <c r="L61" s="439"/>
      <c r="M61" s="439"/>
    </row>
    <row r="62" spans="2:13" ht="24" customHeight="1">
      <c r="B62" s="438" t="s">
        <v>822</v>
      </c>
      <c r="C62" s="439"/>
      <c r="D62" s="439"/>
      <c r="E62" s="439"/>
      <c r="F62" s="439"/>
      <c r="G62" s="439"/>
      <c r="H62" s="439"/>
      <c r="I62" s="439"/>
      <c r="J62" s="439"/>
      <c r="K62" s="439"/>
      <c r="L62" s="439"/>
      <c r="M62" s="439"/>
    </row>
    <row r="63" spans="2:13" ht="24" customHeight="1">
      <c r="B63" s="86"/>
    </row>
    <row r="64" spans="2:13" ht="24" customHeight="1">
      <c r="B64" s="210" t="s">
        <v>66</v>
      </c>
      <c r="C64" s="11"/>
    </row>
    <row r="65" spans="2:8" ht="24" customHeight="1">
      <c r="B65" s="11" t="s">
        <v>863</v>
      </c>
      <c r="C65" s="211" t="s">
        <v>101</v>
      </c>
    </row>
    <row r="66" spans="2:8" ht="24" customHeight="1">
      <c r="B66" s="11" t="s">
        <v>102</v>
      </c>
      <c r="C66" s="211" t="s">
        <v>849</v>
      </c>
    </row>
    <row r="67" spans="2:8" ht="24" customHeight="1">
      <c r="B67" s="11" t="s">
        <v>104</v>
      </c>
      <c r="C67" s="211" t="s">
        <v>105</v>
      </c>
    </row>
    <row r="68" spans="2:8" ht="24" customHeight="1">
      <c r="B68" s="11" t="s">
        <v>848</v>
      </c>
      <c r="C68" s="211" t="s">
        <v>106</v>
      </c>
    </row>
    <row r="69" spans="2:8" ht="24" customHeight="1" thickBot="1"/>
    <row r="70" spans="2:8" ht="39" customHeight="1" thickBot="1">
      <c r="B70" s="396" t="s">
        <v>107</v>
      </c>
      <c r="C70" s="440"/>
      <c r="D70" s="440"/>
      <c r="E70" s="440"/>
      <c r="F70" s="440"/>
      <c r="G70" s="440"/>
      <c r="H70" s="441"/>
    </row>
    <row r="71" spans="2:8" ht="24" customHeight="1">
      <c r="B71" s="235" t="s">
        <v>108</v>
      </c>
      <c r="C71" s="236">
        <v>0.21</v>
      </c>
      <c r="D71" s="237"/>
      <c r="E71" s="237"/>
      <c r="F71" s="237"/>
      <c r="G71" s="158"/>
      <c r="H71" s="159"/>
    </row>
    <row r="72" spans="2:8" ht="24" customHeight="1">
      <c r="B72" s="215"/>
      <c r="C72" s="238"/>
      <c r="D72" s="239"/>
      <c r="E72" s="239"/>
      <c r="F72" s="239"/>
      <c r="G72" s="160"/>
      <c r="H72" s="153"/>
    </row>
    <row r="73" spans="2:8" ht="24" customHeight="1">
      <c r="B73" s="240" t="s">
        <v>109</v>
      </c>
      <c r="C73" s="238"/>
      <c r="D73" s="239"/>
      <c r="E73" s="239"/>
      <c r="F73" s="239"/>
      <c r="G73" s="160"/>
      <c r="H73" s="161"/>
    </row>
    <row r="74" spans="2:8" ht="24" customHeight="1">
      <c r="B74" s="215" t="s">
        <v>110</v>
      </c>
      <c r="C74" s="241">
        <v>1.61</v>
      </c>
      <c r="D74" s="239" t="s">
        <v>111</v>
      </c>
      <c r="E74" s="239"/>
      <c r="F74" s="239"/>
      <c r="G74" s="160"/>
      <c r="H74" s="153"/>
    </row>
    <row r="75" spans="2:8" ht="24" customHeight="1">
      <c r="B75" s="215" t="s">
        <v>112</v>
      </c>
      <c r="C75" s="241">
        <v>1.31</v>
      </c>
      <c r="D75" s="239" t="s">
        <v>111</v>
      </c>
      <c r="E75" s="239"/>
      <c r="F75" s="239"/>
      <c r="G75" s="160"/>
      <c r="H75" s="153"/>
    </row>
    <row r="76" spans="2:8" ht="24" customHeight="1">
      <c r="B76" s="215"/>
      <c r="C76" s="241"/>
      <c r="D76" s="239"/>
      <c r="E76" s="239"/>
      <c r="F76" s="239"/>
      <c r="G76" s="160"/>
      <c r="H76" s="153"/>
    </row>
    <row r="77" spans="2:8" ht="24" customHeight="1">
      <c r="B77" s="240" t="s">
        <v>113</v>
      </c>
      <c r="C77" s="238"/>
      <c r="D77" s="239"/>
      <c r="E77" s="239"/>
      <c r="F77" s="239"/>
      <c r="G77" s="160"/>
      <c r="H77" s="153"/>
    </row>
    <row r="78" spans="2:8" ht="24" customHeight="1">
      <c r="B78" s="215" t="s">
        <v>114</v>
      </c>
      <c r="C78" s="242">
        <v>0.11</v>
      </c>
      <c r="D78" s="239" t="s">
        <v>115</v>
      </c>
      <c r="E78" s="243"/>
      <c r="F78" s="239"/>
      <c r="G78" s="160"/>
      <c r="H78" s="153"/>
    </row>
    <row r="79" spans="2:8" ht="24" customHeight="1">
      <c r="B79" s="215" t="s">
        <v>116</v>
      </c>
      <c r="C79" s="242">
        <v>0.21</v>
      </c>
      <c r="D79" s="239" t="s">
        <v>115</v>
      </c>
      <c r="E79" s="243"/>
      <c r="F79" s="239"/>
      <c r="G79" s="160"/>
      <c r="H79" s="153"/>
    </row>
    <row r="80" spans="2:8" ht="24" customHeight="1">
      <c r="B80" s="215" t="s">
        <v>117</v>
      </c>
      <c r="C80" s="242">
        <v>0.34</v>
      </c>
      <c r="D80" s="239" t="s">
        <v>115</v>
      </c>
      <c r="E80" s="243"/>
      <c r="F80" s="239"/>
      <c r="G80" s="160"/>
      <c r="H80" s="153"/>
    </row>
    <row r="81" spans="2:10" ht="24" customHeight="1">
      <c r="B81" s="215"/>
      <c r="C81" s="242"/>
      <c r="D81" s="239"/>
      <c r="E81" s="243"/>
      <c r="F81" s="239"/>
      <c r="G81" s="160"/>
      <c r="H81" s="153"/>
    </row>
    <row r="82" spans="2:10" ht="24" customHeight="1" thickBot="1">
      <c r="B82" s="220" t="s">
        <v>805</v>
      </c>
      <c r="C82" s="244">
        <f>($C$12*$C$78)+($C$13*$C$79)+($C$14*$C$80)</f>
        <v>0.12</v>
      </c>
      <c r="D82" s="227" t="s">
        <v>115</v>
      </c>
      <c r="E82" s="227"/>
      <c r="F82" s="227"/>
      <c r="G82" s="154"/>
      <c r="H82" s="155"/>
    </row>
    <row r="83" spans="2:10" ht="24" customHeight="1">
      <c r="C83" s="88"/>
    </row>
    <row r="84" spans="2:10" ht="24" customHeight="1">
      <c r="B84" s="210" t="s">
        <v>66</v>
      </c>
      <c r="C84" s="245"/>
    </row>
    <row r="85" spans="2:10" ht="24" customHeight="1">
      <c r="B85" s="11" t="s">
        <v>119</v>
      </c>
      <c r="C85" s="245"/>
    </row>
    <row r="86" spans="2:10" ht="24" customHeight="1">
      <c r="B86" s="11" t="s">
        <v>850</v>
      </c>
      <c r="C86" s="211" t="s">
        <v>121</v>
      </c>
    </row>
    <row r="87" spans="2:10" ht="24" customHeight="1">
      <c r="B87" s="11" t="s">
        <v>122</v>
      </c>
      <c r="C87" s="211" t="s">
        <v>123</v>
      </c>
    </row>
    <row r="88" spans="2:10" ht="24" customHeight="1">
      <c r="B88" s="11" t="s">
        <v>124</v>
      </c>
      <c r="C88" s="211" t="s">
        <v>125</v>
      </c>
    </row>
    <row r="89" spans="2:10" ht="24" customHeight="1">
      <c r="B89" s="11" t="s">
        <v>126</v>
      </c>
      <c r="C89" s="211" t="s">
        <v>127</v>
      </c>
    </row>
    <row r="90" spans="2:10" ht="24" customHeight="1" thickBot="1"/>
    <row r="91" spans="2:10" ht="39" customHeight="1" thickBot="1">
      <c r="B91" s="442" t="s">
        <v>128</v>
      </c>
      <c r="C91" s="443"/>
      <c r="D91" s="443"/>
      <c r="E91" s="443"/>
      <c r="F91" s="443"/>
      <c r="G91" s="443"/>
      <c r="H91" s="444"/>
    </row>
    <row r="92" spans="2:10" ht="24" customHeight="1"/>
    <row r="93" spans="2:10" ht="24" customHeight="1"/>
    <row r="94" spans="2:10" ht="24" customHeight="1">
      <c r="J94" s="85"/>
    </row>
    <row r="95" spans="2:10" ht="24" customHeight="1"/>
    <row r="96" spans="2:10" ht="24" customHeight="1"/>
    <row r="97" spans="2:8" ht="24" customHeight="1"/>
    <row r="98" spans="2:8" ht="24" customHeight="1">
      <c r="B98" s="210" t="s">
        <v>66</v>
      </c>
      <c r="C98" s="11"/>
    </row>
    <row r="99" spans="2:8" ht="24" customHeight="1">
      <c r="B99" s="11" t="s">
        <v>129</v>
      </c>
      <c r="C99" s="211" t="s">
        <v>130</v>
      </c>
    </row>
    <row r="100" spans="2:8" ht="24" customHeight="1" thickBot="1"/>
    <row r="101" spans="2:8" ht="39" customHeight="1" thickBot="1">
      <c r="B101" s="442" t="s">
        <v>131</v>
      </c>
      <c r="C101" s="443"/>
      <c r="D101" s="443"/>
      <c r="E101" s="443"/>
      <c r="F101" s="443"/>
      <c r="G101" s="443"/>
      <c r="H101" s="444"/>
    </row>
    <row r="102" spans="2:8" ht="24" customHeight="1"/>
    <row r="103" spans="2:8" ht="24" customHeight="1"/>
    <row r="104" spans="2:8" ht="24" customHeight="1"/>
    <row r="105" spans="2:8" ht="24" customHeight="1"/>
    <row r="106" spans="2:8" ht="24" customHeight="1"/>
    <row r="107" spans="2:8" ht="24" customHeight="1">
      <c r="B107" s="209" t="s">
        <v>77</v>
      </c>
      <c r="C107" s="11"/>
    </row>
    <row r="108" spans="2:8" ht="24" customHeight="1">
      <c r="B108" s="11" t="s">
        <v>132</v>
      </c>
      <c r="C108" s="11"/>
    </row>
    <row r="109" spans="2:8" ht="24" customHeight="1">
      <c r="B109" s="11" t="s">
        <v>133</v>
      </c>
      <c r="C109" s="11"/>
    </row>
    <row r="110" spans="2:8" ht="24" customHeight="1">
      <c r="B110" s="11"/>
      <c r="C110" s="11"/>
    </row>
    <row r="111" spans="2:8" ht="24" customHeight="1">
      <c r="B111" s="210" t="s">
        <v>66</v>
      </c>
      <c r="C111" s="11"/>
    </row>
    <row r="112" spans="2:8" ht="24" customHeight="1">
      <c r="B112" s="11" t="s">
        <v>119</v>
      </c>
      <c r="C112" s="211" t="s">
        <v>134</v>
      </c>
    </row>
    <row r="113" spans="2:13" ht="24" customHeight="1" thickBot="1"/>
    <row r="114" spans="2:13" ht="39" customHeight="1" thickBot="1">
      <c r="B114" s="396" t="s">
        <v>135</v>
      </c>
      <c r="C114" s="440"/>
      <c r="D114" s="440"/>
      <c r="E114" s="440"/>
      <c r="F114" s="440"/>
      <c r="G114" s="440"/>
      <c r="H114" s="441"/>
    </row>
    <row r="115" spans="2:13" ht="24" customHeight="1" thickBot="1">
      <c r="B115" s="212" t="s">
        <v>136</v>
      </c>
      <c r="C115" s="229"/>
      <c r="D115" s="230"/>
      <c r="E115" s="156"/>
      <c r="F115" s="156"/>
      <c r="G115" s="156"/>
      <c r="H115" s="157"/>
      <c r="I115" s="85"/>
    </row>
    <row r="116" spans="2:13" ht="24" customHeight="1">
      <c r="B116" s="215" t="s">
        <v>137</v>
      </c>
      <c r="C116" s="246">
        <v>4.2000000000000003E-2</v>
      </c>
      <c r="D116" s="239" t="s">
        <v>138</v>
      </c>
      <c r="E116" s="160"/>
      <c r="F116" s="160"/>
      <c r="G116" s="160"/>
      <c r="H116" s="153"/>
    </row>
    <row r="117" spans="2:13" ht="24" customHeight="1">
      <c r="B117" s="215" t="s">
        <v>139</v>
      </c>
      <c r="C117" s="246">
        <v>3.3000000000000002E-2</v>
      </c>
      <c r="D117" s="239" t="s">
        <v>138</v>
      </c>
      <c r="E117" s="160"/>
      <c r="F117" s="160"/>
      <c r="G117" s="160"/>
      <c r="H117" s="153"/>
    </row>
    <row r="118" spans="2:13" ht="24" customHeight="1">
      <c r="B118" s="215"/>
      <c r="C118" s="246"/>
      <c r="D118" s="239"/>
      <c r="E118" s="160"/>
      <c r="F118" s="160"/>
      <c r="G118" s="160"/>
      <c r="H118" s="153"/>
    </row>
    <row r="119" spans="2:13" ht="24" customHeight="1">
      <c r="B119" s="215" t="s">
        <v>140</v>
      </c>
      <c r="C119" s="246">
        <v>6.2E-2</v>
      </c>
      <c r="D119" s="239" t="s">
        <v>138</v>
      </c>
      <c r="E119" s="160"/>
      <c r="F119" s="160"/>
      <c r="G119" s="160"/>
      <c r="H119" s="153"/>
    </row>
    <row r="120" spans="2:13" ht="24" customHeight="1" thickBot="1">
      <c r="B120" s="220" t="s">
        <v>141</v>
      </c>
      <c r="C120" s="247">
        <v>4.3999999999999997E-2</v>
      </c>
      <c r="D120" s="227" t="s">
        <v>138</v>
      </c>
      <c r="E120" s="154"/>
      <c r="F120" s="154"/>
      <c r="G120" s="154"/>
      <c r="H120" s="155"/>
    </row>
    <row r="121" spans="2:13" ht="24" customHeight="1"/>
    <row r="122" spans="2:13" ht="24" customHeight="1">
      <c r="B122" s="209" t="s">
        <v>77</v>
      </c>
      <c r="C122" s="11"/>
      <c r="D122" s="11"/>
      <c r="E122" s="11"/>
      <c r="F122" s="11"/>
      <c r="G122" s="11"/>
      <c r="H122" s="11"/>
      <c r="I122" s="11"/>
      <c r="J122" s="11"/>
      <c r="K122" s="11"/>
      <c r="L122" s="11"/>
      <c r="M122" s="11"/>
    </row>
    <row r="123" spans="2:13" ht="24" customHeight="1">
      <c r="B123" s="11" t="s">
        <v>142</v>
      </c>
      <c r="C123" s="11"/>
      <c r="D123" s="11"/>
      <c r="E123" s="11"/>
      <c r="F123" s="11"/>
      <c r="G123" s="11"/>
      <c r="H123" s="11"/>
      <c r="I123" s="11"/>
      <c r="J123" s="11"/>
      <c r="K123" s="11"/>
      <c r="L123" s="11"/>
      <c r="M123" s="11"/>
    </row>
    <row r="124" spans="2:13" ht="24" customHeight="1">
      <c r="B124" s="11" t="s">
        <v>143</v>
      </c>
      <c r="C124" s="11"/>
      <c r="D124" s="11"/>
      <c r="E124" s="11"/>
      <c r="F124" s="11"/>
      <c r="G124" s="11"/>
      <c r="H124" s="11"/>
      <c r="I124" s="11"/>
      <c r="J124" s="11"/>
      <c r="K124" s="11"/>
      <c r="L124" s="11"/>
      <c r="M124" s="11"/>
    </row>
    <row r="125" spans="2:13" ht="24" customHeight="1">
      <c r="B125" s="11" t="s">
        <v>144</v>
      </c>
      <c r="C125" s="11"/>
      <c r="D125" s="11"/>
      <c r="E125" s="11"/>
      <c r="F125" s="11"/>
      <c r="G125" s="11"/>
      <c r="H125" s="11"/>
      <c r="I125" s="11"/>
      <c r="J125" s="11"/>
      <c r="K125" s="11"/>
      <c r="L125" s="11"/>
      <c r="M125" s="11"/>
    </row>
    <row r="126" spans="2:13" ht="24" customHeight="1">
      <c r="B126" s="438" t="s">
        <v>145</v>
      </c>
      <c r="C126" s="439"/>
      <c r="D126" s="439"/>
      <c r="E126" s="439"/>
      <c r="F126" s="439"/>
      <c r="G126" s="439"/>
      <c r="H126" s="439"/>
      <c r="I126" s="439"/>
      <c r="J126" s="439"/>
      <c r="K126" s="439"/>
      <c r="L126" s="439"/>
      <c r="M126" s="439"/>
    </row>
    <row r="127" spans="2:13" ht="24" customHeight="1">
      <c r="B127" s="89"/>
      <c r="C127" s="90"/>
      <c r="D127" s="90"/>
      <c r="E127" s="90"/>
      <c r="F127" s="90"/>
      <c r="G127" s="90"/>
      <c r="H127" s="90"/>
      <c r="I127" s="90"/>
      <c r="J127" s="90"/>
      <c r="K127" s="90"/>
      <c r="L127" s="90"/>
      <c r="M127" s="90"/>
    </row>
    <row r="128" spans="2:13" ht="24" customHeight="1">
      <c r="B128" s="210" t="s">
        <v>146</v>
      </c>
      <c r="C128" s="11"/>
    </row>
    <row r="129" spans="2:10" ht="24" customHeight="1">
      <c r="B129" s="11" t="s">
        <v>147</v>
      </c>
      <c r="C129" s="211" t="s">
        <v>851</v>
      </c>
    </row>
    <row r="130" spans="2:10" ht="24" customHeight="1">
      <c r="B130" s="11"/>
      <c r="C130" s="11"/>
    </row>
    <row r="131" spans="2:10" ht="24" customHeight="1">
      <c r="B131" s="248" t="s">
        <v>149</v>
      </c>
      <c r="C131" s="11"/>
    </row>
    <row r="132" spans="2:10" ht="24" customHeight="1">
      <c r="B132" s="11" t="s">
        <v>150</v>
      </c>
      <c r="C132" s="11"/>
    </row>
    <row r="133" spans="2:10" ht="24" customHeight="1">
      <c r="B133" s="11"/>
      <c r="C133" s="11"/>
    </row>
    <row r="134" spans="2:10" ht="24" customHeight="1">
      <c r="B134" s="210" t="s">
        <v>66</v>
      </c>
      <c r="C134" s="11"/>
    </row>
    <row r="135" spans="2:10" ht="24" customHeight="1">
      <c r="B135" s="11" t="s">
        <v>151</v>
      </c>
      <c r="C135" s="11"/>
    </row>
    <row r="136" spans="2:10" ht="24" customHeight="1" thickBot="1"/>
    <row r="137" spans="2:10" ht="39" customHeight="1" thickBot="1">
      <c r="B137" s="442" t="s">
        <v>152</v>
      </c>
      <c r="C137" s="443"/>
      <c r="D137" s="443"/>
      <c r="E137" s="443"/>
      <c r="F137" s="443"/>
      <c r="G137" s="443"/>
      <c r="H137" s="444"/>
    </row>
    <row r="138" spans="2:10" ht="24" customHeight="1"/>
    <row r="139" spans="2:10" ht="24" customHeight="1">
      <c r="B139" s="209" t="s">
        <v>77</v>
      </c>
      <c r="C139" s="11"/>
    </row>
    <row r="140" spans="2:10" ht="24" customHeight="1">
      <c r="B140" s="11" t="s">
        <v>153</v>
      </c>
      <c r="C140" s="11"/>
      <c r="D140" s="87"/>
      <c r="J140" s="85"/>
    </row>
    <row r="141" spans="2:10" ht="24" customHeight="1">
      <c r="B141" s="11" t="s">
        <v>154</v>
      </c>
      <c r="C141" s="11"/>
      <c r="D141" s="87"/>
    </row>
    <row r="142" spans="2:10" ht="24" customHeight="1">
      <c r="B142" s="11" t="s">
        <v>864</v>
      </c>
      <c r="C142" s="11"/>
      <c r="D142" s="87"/>
    </row>
    <row r="143" spans="2:10" ht="24" customHeight="1">
      <c r="B143" s="11"/>
      <c r="C143" s="11"/>
    </row>
    <row r="144" spans="2:10" ht="24" customHeight="1">
      <c r="B144" s="210" t="s">
        <v>66</v>
      </c>
      <c r="C144" s="11"/>
    </row>
    <row r="145" spans="2:3" ht="24" customHeight="1">
      <c r="B145" s="11" t="s">
        <v>155</v>
      </c>
      <c r="C145" s="211" t="s">
        <v>852</v>
      </c>
    </row>
  </sheetData>
  <sheetProtection algorithmName="SHA-512" hashValue="vecINc1POW4dw6rSAz6m/xcM8DxvmX85OSKDpMKP/K/p7RSIdzTxWhVbwyip8R2NnuNxKt3VThqItULjIbeGNA==" saltValue="jJNz+X9efAoDCUDrJxSHOQ==" spinCount="100000" sheet="1" objects="1" scenarios="1"/>
  <mergeCells count="24">
    <mergeCell ref="B137:H137"/>
    <mergeCell ref="B31:D31"/>
    <mergeCell ref="B45:H45"/>
    <mergeCell ref="B26:D26"/>
    <mergeCell ref="G46:H46"/>
    <mergeCell ref="B53:G53"/>
    <mergeCell ref="B57:H57"/>
    <mergeCell ref="B58:H58"/>
    <mergeCell ref="B2:F2"/>
    <mergeCell ref="B6:D6"/>
    <mergeCell ref="B126:M126"/>
    <mergeCell ref="B59:M59"/>
    <mergeCell ref="B60:M60"/>
    <mergeCell ref="B61:M61"/>
    <mergeCell ref="B62:M62"/>
    <mergeCell ref="B70:H70"/>
    <mergeCell ref="B91:H91"/>
    <mergeCell ref="B101:H101"/>
    <mergeCell ref="B114:H114"/>
    <mergeCell ref="C46:F46"/>
    <mergeCell ref="B56:M56"/>
    <mergeCell ref="B3:F4"/>
    <mergeCell ref="B23:J23"/>
    <mergeCell ref="B24:J24"/>
  </mergeCells>
  <dataValidations count="1">
    <dataValidation allowBlank="1" showInputMessage="1" sqref="C14" xr:uid="{00000000-0002-0000-0200-000000000000}"/>
  </dataValidations>
  <hyperlinks>
    <hyperlink ref="C29" r:id="rId1" location="/kenteken" tooltip="ANWB, Restwaarde auto berekenen" xr:uid="{00000000-0004-0000-0200-000000000000}"/>
    <hyperlink ref="C43" r:id="rId2" tooltip="CO2 emissiefactoren" xr:uid="{00000000-0004-0000-0200-000001000000}"/>
    <hyperlink ref="C86" r:id="rId3" tooltip="CBS, Pompprijzen motorbrandstoffen" xr:uid="{00000000-0004-0000-0200-000002000000}"/>
    <hyperlink ref="C99" r:id="rId4" tooltip="Belastingdienst, BPM belasting" xr:uid="{00000000-0004-0000-0200-000003000000}"/>
    <hyperlink ref="C112" r:id="rId5" tooltip="Belastingdienst, berekenen motorrijtuigenbelasting" xr:uid="{00000000-0004-0000-0200-000004000000}"/>
    <hyperlink ref="C129" r:id="rId6" location="/merkentype" tooltip="ANWB, Rekentool berekenen autokosten" xr:uid="{00000000-0004-0000-0200-000005000000}"/>
    <hyperlink ref="C145" r:id="rId7" tooltip="RVO, Subsidies voor duurzaam transport" xr:uid="{00000000-0004-0000-0200-000006000000}"/>
    <hyperlink ref="C65" r:id="rId8" tooltip="RDW, Het Brandstofverbruiksboekje (diesel en benzine voertuigen)" xr:uid="{00000000-0004-0000-0200-000007000000}"/>
    <hyperlink ref="C67" r:id="rId9" tooltip="ANWB, Top 10 zuinige en schone bestelauto's" xr:uid="{00000000-0004-0000-0200-000008000000}"/>
    <hyperlink ref="C68" r:id="rId10" tooltip="BOVAG, Worldwide Harmonized Light Vehicles Test Procedure" xr:uid="{00000000-0004-0000-0200-000009000000}"/>
    <hyperlink ref="C66" r:id="rId11" tooltip="EV databse: een specificatie-overzicht van alle elektrische auto's" xr:uid="{00000000-0004-0000-0200-00000A000000}"/>
    <hyperlink ref="C87" r:id="rId12" tooltip="Allego, laadprijzen" xr:uid="{00000000-0004-0000-0200-00000B000000}"/>
    <hyperlink ref="C88" r:id="rId13" tooltip="FastNed, laadprijzen snelladen" xr:uid="{00000000-0004-0000-0200-00000C000000}"/>
    <hyperlink ref="C89" r:id="rId14" tooltip="LeaseBlog, Kosten om een elektrische auto op te laden" xr:uid="{00000000-0004-0000-0200-00000D000000}"/>
  </hyperlinks>
  <pageMargins left="0.7" right="0.7" top="0.75" bottom="0.75" header="0.3" footer="0.3"/>
  <drawing r:id="rId15"/>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200-000001000000}">
          <x14:formula1>
            <xm:f>'Input drop-down menu''s'!$K$4:$K$13</xm:f>
          </x14:formula1>
          <xm:sqref>C7</xm:sqref>
        </x14:dataValidation>
        <x14:dataValidation type="list" allowBlank="1" showInputMessage="1" showErrorMessage="1" xr:uid="{00000000-0002-0000-0200-000002000000}">
          <x14:formula1>
            <xm:f>'Input drop-down menu''s'!$C$4:$C$6</xm:f>
          </x14:formula1>
          <xm:sqref>C8</xm:sqref>
        </x14:dataValidation>
        <x14:dataValidation type="list" allowBlank="1" showInputMessage="1" showErrorMessage="1" xr:uid="{00000000-0002-0000-0200-000003000000}">
          <x14:formula1>
            <xm:f>'Input drop-down menu''s'!$E$4:$E$5</xm:f>
          </x14:formula1>
          <xm:sqref>C10</xm:sqref>
        </x14:dataValidation>
        <x14:dataValidation type="list" allowBlank="1" showInputMessage="1" showErrorMessage="1" xr:uid="{00000000-0002-0000-0200-000004000000}">
          <x14:formula1>
            <xm:f>'Input drop-down menu''s'!$I$4:$I$5</xm:f>
          </x14:formula1>
          <xm:sqref>C9:C10 C19:C22</xm:sqref>
        </x14:dataValidation>
        <x14:dataValidation type="list" allowBlank="1" showInputMessage="1" showErrorMessage="1" xr:uid="{00000000-0002-0000-0200-000005000000}">
          <x14:formula1>
            <xm:f>'Input drop-down menu''s'!$G$4:$G$5</xm:f>
          </x14:formula1>
          <xm:sqref>C16</xm:sqref>
        </x14:dataValidation>
        <x14:dataValidation type="list" allowBlank="1" showInputMessage="1" showErrorMessage="1" xr:uid="{00000000-0002-0000-0200-000006000000}">
          <x14:formula1>
            <xm:f>'Input drop-down menu''s'!$M$4:$M$14</xm:f>
          </x14:formula1>
          <xm:sqref>C12:C13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9"/>
  </sheetPr>
  <dimension ref="A1:V161"/>
  <sheetViews>
    <sheetView topLeftCell="A10" zoomScaleNormal="100" workbookViewId="0">
      <selection activeCell="D157" sqref="D157:H157"/>
    </sheetView>
  </sheetViews>
  <sheetFormatPr defaultColWidth="11" defaultRowHeight="15.75"/>
  <cols>
    <col min="1" max="1" width="2.75" customWidth="1"/>
    <col min="2" max="2" width="10.75" customWidth="1"/>
  </cols>
  <sheetData>
    <row r="1" spans="1:22" ht="16.5" thickBot="1"/>
    <row r="2" spans="1:22" ht="27" thickBot="1">
      <c r="B2" s="410" t="s">
        <v>157</v>
      </c>
      <c r="C2" s="411"/>
      <c r="D2" s="411"/>
      <c r="E2" s="411"/>
      <c r="F2" s="411"/>
      <c r="G2" s="411"/>
      <c r="H2" s="411"/>
      <c r="I2" s="411"/>
      <c r="J2" s="412"/>
    </row>
    <row r="3" spans="1:22" ht="283.89999999999998" customHeight="1" thickBot="1">
      <c r="B3" s="480" t="s">
        <v>865</v>
      </c>
      <c r="C3" s="481"/>
      <c r="D3" s="481"/>
      <c r="E3" s="481"/>
      <c r="F3" s="481"/>
      <c r="G3" s="481"/>
      <c r="H3" s="481"/>
      <c r="I3" s="481"/>
      <c r="J3" s="482"/>
    </row>
    <row r="5" spans="1:22" ht="19.899999999999999" customHeight="1" thickBot="1">
      <c r="A5" s="12"/>
    </row>
    <row r="6" spans="1:22" ht="31.9" customHeight="1" thickBot="1">
      <c r="B6" s="492" t="s">
        <v>158</v>
      </c>
      <c r="C6" s="493"/>
      <c r="D6" s="493"/>
      <c r="E6" s="493"/>
      <c r="F6" s="493"/>
      <c r="G6" s="493"/>
      <c r="H6" s="493"/>
      <c r="I6" s="493"/>
      <c r="J6" s="493"/>
      <c r="K6" s="493"/>
      <c r="L6" s="493"/>
      <c r="M6" s="493"/>
      <c r="N6" s="493"/>
      <c r="O6" s="493"/>
      <c r="P6" s="493"/>
      <c r="Q6" s="493"/>
      <c r="R6" s="493"/>
      <c r="S6" s="493"/>
      <c r="T6" s="493"/>
      <c r="U6" s="493"/>
      <c r="V6" s="494"/>
    </row>
    <row r="41" spans="2:22" ht="43.9" customHeight="1" thickBot="1"/>
    <row r="42" spans="2:22" ht="27" thickBot="1">
      <c r="B42" s="492" t="s">
        <v>159</v>
      </c>
      <c r="C42" s="493"/>
      <c r="D42" s="493"/>
      <c r="E42" s="493"/>
      <c r="F42" s="493"/>
      <c r="G42" s="493"/>
      <c r="H42" s="493"/>
      <c r="I42" s="493"/>
      <c r="J42" s="493"/>
      <c r="K42" s="493"/>
      <c r="L42" s="493"/>
      <c r="M42" s="493"/>
      <c r="N42" s="493"/>
      <c r="O42" s="493"/>
      <c r="P42" s="493"/>
      <c r="Q42" s="493"/>
      <c r="R42" s="493"/>
      <c r="S42" s="493"/>
      <c r="T42" s="493"/>
      <c r="U42" s="493"/>
      <c r="V42" s="494"/>
    </row>
    <row r="68" spans="2:22" ht="43.9" customHeight="1" thickBot="1"/>
    <row r="69" spans="2:22" ht="27" thickBot="1">
      <c r="B69" s="492" t="s">
        <v>160</v>
      </c>
      <c r="C69" s="493"/>
      <c r="D69" s="493"/>
      <c r="E69" s="493"/>
      <c r="F69" s="493"/>
      <c r="G69" s="493"/>
      <c r="H69" s="493"/>
      <c r="I69" s="493"/>
      <c r="J69" s="493"/>
      <c r="K69" s="493"/>
      <c r="L69" s="493"/>
      <c r="M69" s="493"/>
      <c r="N69" s="493"/>
      <c r="O69" s="493"/>
      <c r="P69" s="493"/>
      <c r="Q69" s="493"/>
      <c r="R69" s="493"/>
      <c r="S69" s="493"/>
      <c r="T69" s="493"/>
      <c r="U69" s="493"/>
      <c r="V69" s="494"/>
    </row>
    <row r="95" spans="2:22" ht="40.15" customHeight="1" thickBot="1"/>
    <row r="96" spans="2:22" ht="27" thickBot="1">
      <c r="B96" s="396" t="s">
        <v>161</v>
      </c>
      <c r="C96" s="440"/>
      <c r="D96" s="440"/>
      <c r="E96" s="440"/>
      <c r="F96" s="440"/>
      <c r="G96" s="440"/>
      <c r="H96" s="440"/>
      <c r="I96" s="440"/>
      <c r="J96" s="440"/>
      <c r="K96" s="440"/>
      <c r="L96" s="440"/>
      <c r="M96" s="440"/>
      <c r="N96" s="440"/>
      <c r="O96" s="440"/>
      <c r="P96" s="440"/>
      <c r="Q96" s="440"/>
      <c r="R96" s="440"/>
      <c r="S96" s="440"/>
      <c r="T96" s="440"/>
      <c r="U96" s="440"/>
      <c r="V96" s="441"/>
    </row>
    <row r="147" spans="2:22" ht="40.15" customHeight="1" thickBot="1"/>
    <row r="148" spans="2:22" ht="27" thickBot="1">
      <c r="B148" s="396" t="s">
        <v>162</v>
      </c>
      <c r="C148" s="440"/>
      <c r="D148" s="440"/>
      <c r="E148" s="440"/>
      <c r="F148" s="440"/>
      <c r="G148" s="440"/>
      <c r="H148" s="440"/>
      <c r="I148" s="440"/>
      <c r="J148" s="440"/>
      <c r="K148" s="440"/>
      <c r="L148" s="440"/>
      <c r="M148" s="440"/>
      <c r="N148" s="440"/>
      <c r="O148" s="440"/>
      <c r="P148" s="440"/>
      <c r="Q148" s="440"/>
      <c r="R148" s="440"/>
      <c r="S148" s="440"/>
      <c r="T148" s="440"/>
      <c r="U148" s="440"/>
      <c r="V148" s="441"/>
    </row>
    <row r="149" spans="2:22" ht="16.5" thickBot="1"/>
    <row r="150" spans="2:22" ht="27" thickBot="1">
      <c r="B150" s="485" t="s">
        <v>163</v>
      </c>
      <c r="C150" s="487"/>
      <c r="D150" s="485" t="s">
        <v>164</v>
      </c>
      <c r="E150" s="486"/>
      <c r="F150" s="486"/>
      <c r="G150" s="486"/>
      <c r="H150" s="487"/>
      <c r="I150" s="488" t="s">
        <v>165</v>
      </c>
      <c r="J150" s="436"/>
      <c r="K150" s="436"/>
      <c r="L150" s="436"/>
      <c r="M150" s="436"/>
      <c r="N150" s="436"/>
      <c r="O150" s="436"/>
      <c r="P150" s="436"/>
      <c r="Q150" s="436"/>
      <c r="R150" s="437"/>
    </row>
    <row r="151" spans="2:22" ht="31.15" customHeight="1">
      <c r="B151" s="483" t="s">
        <v>11</v>
      </c>
      <c r="C151" s="484"/>
      <c r="D151" s="470" t="s">
        <v>12</v>
      </c>
      <c r="E151" s="471"/>
      <c r="F151" s="471"/>
      <c r="G151" s="471"/>
      <c r="H151" s="472"/>
      <c r="I151" s="489" t="s">
        <v>15</v>
      </c>
      <c r="J151" s="490"/>
      <c r="K151" s="490"/>
      <c r="L151" s="490"/>
      <c r="M151" s="490"/>
      <c r="N151" s="490"/>
      <c r="O151" s="490"/>
      <c r="P151" s="490"/>
      <c r="Q151" s="490"/>
      <c r="R151" s="491"/>
    </row>
    <row r="152" spans="2:22" ht="31.15" customHeight="1">
      <c r="B152" s="476" t="s">
        <v>16</v>
      </c>
      <c r="C152" s="477"/>
      <c r="D152" s="470" t="s">
        <v>17</v>
      </c>
      <c r="E152" s="471"/>
      <c r="F152" s="471"/>
      <c r="G152" s="471"/>
      <c r="H152" s="472"/>
      <c r="I152" s="464" t="s">
        <v>823</v>
      </c>
      <c r="J152" s="465"/>
      <c r="K152" s="465"/>
      <c r="L152" s="465"/>
      <c r="M152" s="465"/>
      <c r="N152" s="465"/>
      <c r="O152" s="465"/>
      <c r="P152" s="465"/>
      <c r="Q152" s="465"/>
      <c r="R152" s="466"/>
    </row>
    <row r="153" spans="2:22" ht="31.15" customHeight="1">
      <c r="B153" s="476" t="s">
        <v>19</v>
      </c>
      <c r="C153" s="477"/>
      <c r="D153" s="470" t="s">
        <v>20</v>
      </c>
      <c r="E153" s="471"/>
      <c r="F153" s="471"/>
      <c r="G153" s="471"/>
      <c r="H153" s="472"/>
      <c r="I153" s="464" t="s">
        <v>827</v>
      </c>
      <c r="J153" s="465"/>
      <c r="K153" s="465"/>
      <c r="L153" s="465"/>
      <c r="M153" s="465"/>
      <c r="N153" s="465"/>
      <c r="O153" s="465"/>
      <c r="P153" s="465"/>
      <c r="Q153" s="465"/>
      <c r="R153" s="466"/>
    </row>
    <row r="154" spans="2:22" ht="31.15" customHeight="1">
      <c r="B154" s="476" t="s">
        <v>22</v>
      </c>
      <c r="C154" s="477"/>
      <c r="D154" s="470" t="s">
        <v>23</v>
      </c>
      <c r="E154" s="471"/>
      <c r="F154" s="471"/>
      <c r="G154" s="471"/>
      <c r="H154" s="472"/>
      <c r="I154" s="464" t="s">
        <v>25</v>
      </c>
      <c r="J154" s="465"/>
      <c r="K154" s="465"/>
      <c r="L154" s="465"/>
      <c r="M154" s="465"/>
      <c r="N154" s="465"/>
      <c r="O154" s="465"/>
      <c r="P154" s="465"/>
      <c r="Q154" s="465"/>
      <c r="R154" s="466"/>
    </row>
    <row r="155" spans="2:22" ht="31.15" customHeight="1">
      <c r="B155" s="476" t="s">
        <v>26</v>
      </c>
      <c r="C155" s="477"/>
      <c r="D155" s="470" t="s">
        <v>27</v>
      </c>
      <c r="E155" s="471"/>
      <c r="F155" s="471"/>
      <c r="G155" s="471"/>
      <c r="H155" s="472"/>
      <c r="I155" s="464" t="s">
        <v>29</v>
      </c>
      <c r="J155" s="465"/>
      <c r="K155" s="465"/>
      <c r="L155" s="465"/>
      <c r="M155" s="465"/>
      <c r="N155" s="465"/>
      <c r="O155" s="465"/>
      <c r="P155" s="465"/>
      <c r="Q155" s="465"/>
      <c r="R155" s="466"/>
    </row>
    <row r="156" spans="2:22" ht="31.15" customHeight="1">
      <c r="B156" s="476" t="s">
        <v>30</v>
      </c>
      <c r="C156" s="477"/>
      <c r="D156" s="470" t="s">
        <v>31</v>
      </c>
      <c r="E156" s="471"/>
      <c r="F156" s="471"/>
      <c r="G156" s="471"/>
      <c r="H156" s="472"/>
      <c r="I156" s="464" t="s">
        <v>29</v>
      </c>
      <c r="J156" s="465"/>
      <c r="K156" s="465"/>
      <c r="L156" s="465"/>
      <c r="M156" s="465"/>
      <c r="N156" s="465"/>
      <c r="O156" s="465"/>
      <c r="P156" s="465"/>
      <c r="Q156" s="465"/>
      <c r="R156" s="466"/>
    </row>
    <row r="157" spans="2:22" ht="31.15" customHeight="1">
      <c r="B157" s="476" t="s">
        <v>33</v>
      </c>
      <c r="C157" s="477"/>
      <c r="D157" s="470" t="s">
        <v>34</v>
      </c>
      <c r="E157" s="471"/>
      <c r="F157" s="471"/>
      <c r="G157" s="471"/>
      <c r="H157" s="472"/>
      <c r="I157" s="464" t="s">
        <v>36</v>
      </c>
      <c r="J157" s="465"/>
      <c r="K157" s="465"/>
      <c r="L157" s="465"/>
      <c r="M157" s="465"/>
      <c r="N157" s="465"/>
      <c r="O157" s="465"/>
      <c r="P157" s="465"/>
      <c r="Q157" s="465"/>
      <c r="R157" s="466"/>
    </row>
    <row r="158" spans="2:22" ht="31.15" customHeight="1">
      <c r="B158" s="476" t="s">
        <v>37</v>
      </c>
      <c r="C158" s="477"/>
      <c r="D158" s="470" t="s">
        <v>38</v>
      </c>
      <c r="E158" s="471"/>
      <c r="F158" s="471"/>
      <c r="G158" s="471"/>
      <c r="H158" s="472"/>
      <c r="I158" s="464" t="s">
        <v>856</v>
      </c>
      <c r="J158" s="465"/>
      <c r="K158" s="465"/>
      <c r="L158" s="465"/>
      <c r="M158" s="465"/>
      <c r="N158" s="465"/>
      <c r="O158" s="465"/>
      <c r="P158" s="465"/>
      <c r="Q158" s="465"/>
      <c r="R158" s="466"/>
    </row>
    <row r="159" spans="2:22" ht="31.15" customHeight="1">
      <c r="B159" s="476" t="s">
        <v>176</v>
      </c>
      <c r="C159" s="477"/>
      <c r="D159" s="470" t="s">
        <v>41</v>
      </c>
      <c r="E159" s="471"/>
      <c r="F159" s="471"/>
      <c r="G159" s="471"/>
      <c r="H159" s="472"/>
      <c r="I159" s="464" t="s">
        <v>826</v>
      </c>
      <c r="J159" s="465"/>
      <c r="K159" s="465"/>
      <c r="L159" s="465"/>
      <c r="M159" s="465"/>
      <c r="N159" s="465"/>
      <c r="O159" s="465"/>
      <c r="P159" s="465"/>
      <c r="Q159" s="465"/>
      <c r="R159" s="466"/>
    </row>
    <row r="160" spans="2:22" ht="31.15" customHeight="1">
      <c r="B160" s="476" t="s">
        <v>177</v>
      </c>
      <c r="C160" s="477"/>
      <c r="D160" s="470" t="s">
        <v>44</v>
      </c>
      <c r="E160" s="471"/>
      <c r="F160" s="471"/>
      <c r="G160" s="471"/>
      <c r="H160" s="472"/>
      <c r="I160" s="464" t="s">
        <v>46</v>
      </c>
      <c r="J160" s="465"/>
      <c r="K160" s="465"/>
      <c r="L160" s="465"/>
      <c r="M160" s="465"/>
      <c r="N160" s="465"/>
      <c r="O160" s="465"/>
      <c r="P160" s="465"/>
      <c r="Q160" s="465"/>
      <c r="R160" s="466"/>
    </row>
    <row r="161" spans="2:18" ht="31.15" customHeight="1" thickBot="1">
      <c r="B161" s="478" t="s">
        <v>178</v>
      </c>
      <c r="C161" s="479"/>
      <c r="D161" s="473" t="s">
        <v>47</v>
      </c>
      <c r="E161" s="474"/>
      <c r="F161" s="474"/>
      <c r="G161" s="474"/>
      <c r="H161" s="475"/>
      <c r="I161" s="467" t="s">
        <v>49</v>
      </c>
      <c r="J161" s="468"/>
      <c r="K161" s="468"/>
      <c r="L161" s="468"/>
      <c r="M161" s="468"/>
      <c r="N161" s="468"/>
      <c r="O161" s="468"/>
      <c r="P161" s="468"/>
      <c r="Q161" s="468"/>
      <c r="R161" s="469"/>
    </row>
  </sheetData>
  <sheetProtection algorithmName="SHA-512" hashValue="5umX34+gpUMsoIcsPgQsio9nbe8Jr+aXqe3hwWkIodORCAw/q5nh+ujKzUQYc0gYm/oT1IDvXLbp1Hfey5XHVg==" saltValue="i0vY/TOTpBodJoB2aXCakg==" spinCount="100000" sheet="1" objects="1" scenarios="1"/>
  <mergeCells count="43">
    <mergeCell ref="B148:V148"/>
    <mergeCell ref="B3:J3"/>
    <mergeCell ref="B2:J2"/>
    <mergeCell ref="B151:C151"/>
    <mergeCell ref="D151:H151"/>
    <mergeCell ref="D150:H150"/>
    <mergeCell ref="B150:C150"/>
    <mergeCell ref="I150:R150"/>
    <mergeCell ref="I151:R151"/>
    <mergeCell ref="B6:V6"/>
    <mergeCell ref="B42:V42"/>
    <mergeCell ref="B69:V69"/>
    <mergeCell ref="B96:V96"/>
    <mergeCell ref="B152:C152"/>
    <mergeCell ref="B153:C153"/>
    <mergeCell ref="B154:C154"/>
    <mergeCell ref="B155:C155"/>
    <mergeCell ref="B156:C156"/>
    <mergeCell ref="B157:C157"/>
    <mergeCell ref="B158:C158"/>
    <mergeCell ref="B159:C159"/>
    <mergeCell ref="B160:C160"/>
    <mergeCell ref="B161:C161"/>
    <mergeCell ref="D152:H152"/>
    <mergeCell ref="D153:H153"/>
    <mergeCell ref="D154:H154"/>
    <mergeCell ref="D155:H155"/>
    <mergeCell ref="D156:H156"/>
    <mergeCell ref="D157:H157"/>
    <mergeCell ref="D158:H158"/>
    <mergeCell ref="D159:H159"/>
    <mergeCell ref="D160:H160"/>
    <mergeCell ref="D161:H161"/>
    <mergeCell ref="I152:R152"/>
    <mergeCell ref="I153:R153"/>
    <mergeCell ref="I154:R154"/>
    <mergeCell ref="I155:R155"/>
    <mergeCell ref="I156:R156"/>
    <mergeCell ref="I157:R157"/>
    <mergeCell ref="I158:R158"/>
    <mergeCell ref="I159:R159"/>
    <mergeCell ref="I160:R160"/>
    <mergeCell ref="I161:R161"/>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sheetPr>
  <dimension ref="A1:N65"/>
  <sheetViews>
    <sheetView topLeftCell="A7" zoomScaleNormal="100" workbookViewId="0">
      <selection activeCell="G58" sqref="G58"/>
    </sheetView>
  </sheetViews>
  <sheetFormatPr defaultColWidth="10.75" defaultRowHeight="15.75"/>
  <cols>
    <col min="1" max="1" width="2.75" style="10" customWidth="1"/>
    <col min="2" max="2" width="47.5" style="10" customWidth="1"/>
    <col min="3" max="4" width="22.25" style="10" customWidth="1"/>
    <col min="5" max="5" width="1.75" style="10" customWidth="1"/>
    <col min="6" max="7" width="22.25" style="10" customWidth="1"/>
    <col min="8" max="8" width="1.75" style="10" customWidth="1"/>
    <col min="9" max="9" width="11.75" style="10" customWidth="1"/>
    <col min="10" max="10" width="79" style="10" customWidth="1"/>
    <col min="11" max="11" width="13" style="10" bestFit="1" customWidth="1"/>
    <col min="12" max="13" width="13" style="10" customWidth="1"/>
    <col min="14" max="16384" width="10.75" style="10"/>
  </cols>
  <sheetData>
    <row r="1" spans="2:14" ht="16.5" thickBot="1">
      <c r="E1" s="193"/>
    </row>
    <row r="2" spans="2:14" ht="34.15" customHeight="1" thickBot="1">
      <c r="B2" s="171"/>
      <c r="C2" s="495" t="s">
        <v>166</v>
      </c>
      <c r="D2" s="496"/>
      <c r="E2" s="195"/>
      <c r="F2" s="497" t="s">
        <v>167</v>
      </c>
      <c r="G2" s="496"/>
      <c r="H2" s="195"/>
      <c r="I2" s="497" t="s">
        <v>168</v>
      </c>
      <c r="J2" s="496"/>
      <c r="L2" s="13"/>
    </row>
    <row r="3" spans="2:14" ht="28.15" customHeight="1" thickBot="1">
      <c r="B3" s="172" t="s">
        <v>83</v>
      </c>
      <c r="C3" s="173" t="s">
        <v>169</v>
      </c>
      <c r="D3" s="173" t="s">
        <v>10</v>
      </c>
      <c r="E3" s="195"/>
      <c r="F3" s="173" t="s">
        <v>169</v>
      </c>
      <c r="G3" s="173" t="s">
        <v>10</v>
      </c>
      <c r="H3" s="195"/>
      <c r="I3" s="172" t="s">
        <v>170</v>
      </c>
      <c r="J3" s="174" t="s">
        <v>171</v>
      </c>
      <c r="L3" s="13"/>
    </row>
    <row r="4" spans="2:14" s="14" customFormat="1" ht="24" customHeight="1">
      <c r="B4" s="175" t="s">
        <v>172</v>
      </c>
      <c r="C4" s="176" t="s">
        <v>169</v>
      </c>
      <c r="D4" s="177" t="s">
        <v>10</v>
      </c>
      <c r="E4" s="196"/>
      <c r="F4" s="178"/>
      <c r="G4" s="179"/>
      <c r="H4" s="196"/>
      <c r="I4" s="38"/>
      <c r="J4" s="39"/>
      <c r="L4" s="16"/>
    </row>
    <row r="5" spans="2:14" s="14" customFormat="1" ht="19.899999999999999" customHeight="1">
      <c r="B5" s="36" t="s">
        <v>11</v>
      </c>
      <c r="C5" s="40">
        <f>SUM('Output TCO'!E3:E6)</f>
        <v>0</v>
      </c>
      <c r="D5" s="41">
        <f>SUM('Output TCO'!I3:I6)</f>
        <v>0</v>
      </c>
      <c r="E5" s="196"/>
      <c r="F5" s="40"/>
      <c r="G5" s="41"/>
      <c r="H5" s="196"/>
      <c r="I5" s="66" t="s">
        <v>173</v>
      </c>
      <c r="J5" s="67"/>
    </row>
    <row r="6" spans="2:14" s="14" customFormat="1" ht="19.899999999999999" customHeight="1">
      <c r="B6" s="36" t="s">
        <v>16</v>
      </c>
      <c r="C6" s="40">
        <f>SUM('Output TCO'!E8:E11)</f>
        <v>0</v>
      </c>
      <c r="D6" s="41">
        <f>SUM('Output TCO'!I8:I11)</f>
        <v>0</v>
      </c>
      <c r="E6" s="15"/>
      <c r="F6" s="40"/>
      <c r="G6" s="41"/>
      <c r="H6" s="15"/>
      <c r="I6" s="66" t="s">
        <v>173</v>
      </c>
      <c r="J6" s="67"/>
    </row>
    <row r="7" spans="2:14" s="14" customFormat="1" ht="19.899999999999999" customHeight="1">
      <c r="B7" s="36" t="s">
        <v>19</v>
      </c>
      <c r="C7" s="40">
        <f>SUM('Output TCO'!E13:E16)</f>
        <v>0</v>
      </c>
      <c r="D7" s="41">
        <f>SUM('Output TCO'!I13:I16)</f>
        <v>0</v>
      </c>
      <c r="E7" s="15"/>
      <c r="F7" s="40"/>
      <c r="G7" s="41"/>
      <c r="H7" s="15"/>
      <c r="I7" s="66" t="s">
        <v>173</v>
      </c>
      <c r="J7" s="67"/>
    </row>
    <row r="8" spans="2:14" s="14" customFormat="1" ht="19.899999999999999" customHeight="1">
      <c r="B8" s="36" t="s">
        <v>22</v>
      </c>
      <c r="C8" s="40">
        <f>SUM('Output TCO'!E18:E21)</f>
        <v>0</v>
      </c>
      <c r="D8" s="41">
        <f>SUM('Output TCO'!I18:I21)</f>
        <v>0</v>
      </c>
      <c r="E8" s="15"/>
      <c r="F8" s="40"/>
      <c r="G8" s="41"/>
      <c r="H8" s="15"/>
      <c r="I8" s="66" t="s">
        <v>173</v>
      </c>
      <c r="J8" s="67"/>
    </row>
    <row r="9" spans="2:14" s="14" customFormat="1" ht="19.899999999999999" customHeight="1">
      <c r="B9" s="36" t="s">
        <v>26</v>
      </c>
      <c r="C9" s="40">
        <f>SUM('Output TCO'!E23:E26)</f>
        <v>0</v>
      </c>
      <c r="D9" s="41">
        <f>SUM('Output TCO'!I23:I26)</f>
        <v>0</v>
      </c>
      <c r="E9" s="15"/>
      <c r="F9" s="40"/>
      <c r="G9" s="41"/>
      <c r="H9" s="15"/>
      <c r="I9" s="66" t="s">
        <v>173</v>
      </c>
      <c r="J9" s="67" t="s">
        <v>174</v>
      </c>
    </row>
    <row r="10" spans="2:14" s="14" customFormat="1" ht="19.899999999999999" customHeight="1">
      <c r="B10" s="36" t="s">
        <v>30</v>
      </c>
      <c r="C10" s="40">
        <f>SUM('Output TCO'!E28:E31)</f>
        <v>0</v>
      </c>
      <c r="D10" s="41">
        <f>SUM('Output TCO'!I28:I31)</f>
        <v>0</v>
      </c>
      <c r="E10" s="15"/>
      <c r="F10" s="40"/>
      <c r="G10" s="41"/>
      <c r="H10" s="15"/>
      <c r="I10" s="66" t="s">
        <v>173</v>
      </c>
      <c r="J10" s="67" t="s">
        <v>175</v>
      </c>
    </row>
    <row r="11" spans="2:14" s="14" customFormat="1" ht="19.899999999999999" customHeight="1">
      <c r="B11" s="36" t="s">
        <v>33</v>
      </c>
      <c r="C11" s="40">
        <f>SUM('Output TCO'!E33:E36)</f>
        <v>0</v>
      </c>
      <c r="D11" s="41">
        <f>SUM('Output TCO'!I33:I36)</f>
        <v>0</v>
      </c>
      <c r="E11" s="15"/>
      <c r="F11" s="40"/>
      <c r="G11" s="41"/>
      <c r="H11" s="15"/>
      <c r="I11" s="66" t="s">
        <v>173</v>
      </c>
      <c r="J11" s="67"/>
      <c r="N11" s="17"/>
    </row>
    <row r="12" spans="2:14" s="14" customFormat="1" ht="19.899999999999999" customHeight="1">
      <c r="B12" s="36" t="s">
        <v>37</v>
      </c>
      <c r="C12" s="40">
        <f>SUM('Output TCO'!E38:E41)</f>
        <v>0</v>
      </c>
      <c r="D12" s="41">
        <f>SUM('Output TCO'!I38:I41)</f>
        <v>0</v>
      </c>
      <c r="E12" s="15"/>
      <c r="F12" s="40"/>
      <c r="G12" s="41"/>
      <c r="H12" s="15"/>
      <c r="I12" s="66" t="s">
        <v>173</v>
      </c>
      <c r="J12" s="67"/>
    </row>
    <row r="13" spans="2:14" s="14" customFormat="1" ht="19.899999999999999" customHeight="1">
      <c r="B13" s="36" t="s">
        <v>176</v>
      </c>
      <c r="C13" s="40">
        <f>SUM('Output TCO'!E43:E46)</f>
        <v>0</v>
      </c>
      <c r="D13" s="41">
        <f>SUM('Output TCO'!I43:I46)</f>
        <v>0</v>
      </c>
      <c r="E13" s="15"/>
      <c r="F13" s="44"/>
      <c r="G13" s="41"/>
      <c r="H13" s="15"/>
      <c r="I13" s="66" t="s">
        <v>173</v>
      </c>
      <c r="J13" s="67"/>
    </row>
    <row r="14" spans="2:14" s="14" customFormat="1" ht="19.899999999999999" customHeight="1">
      <c r="B14" s="36" t="s">
        <v>177</v>
      </c>
      <c r="C14" s="40">
        <f>SUM('Output TCO'!E48:E51)</f>
        <v>0</v>
      </c>
      <c r="D14" s="41">
        <f>SUM('Output TCO'!I48:I51)</f>
        <v>0</v>
      </c>
      <c r="E14" s="15"/>
      <c r="F14" s="40"/>
      <c r="G14" s="41"/>
      <c r="H14" s="15"/>
      <c r="I14" s="66" t="s">
        <v>173</v>
      </c>
      <c r="J14" s="67"/>
    </row>
    <row r="15" spans="2:14" s="14" customFormat="1" ht="19.899999999999999" customHeight="1">
      <c r="B15" s="36" t="s">
        <v>178</v>
      </c>
      <c r="C15" s="40">
        <f>SUM('Output TCO'!E53:E56)</f>
        <v>0</v>
      </c>
      <c r="D15" s="41">
        <f>SUM('Output TCO'!I53:I56)</f>
        <v>0</v>
      </c>
      <c r="E15" s="15"/>
      <c r="F15" s="40"/>
      <c r="G15" s="41"/>
      <c r="H15" s="15"/>
      <c r="I15" s="66" t="s">
        <v>173</v>
      </c>
      <c r="J15" s="67"/>
    </row>
    <row r="16" spans="2:14" s="14" customFormat="1" ht="24" customHeight="1" thickBot="1">
      <c r="B16" s="37" t="s">
        <v>3</v>
      </c>
      <c r="C16" s="42">
        <f>SUM(C5:C15)</f>
        <v>0</v>
      </c>
      <c r="D16" s="43">
        <f>SUM(D5:D15)</f>
        <v>0</v>
      </c>
      <c r="E16" s="18"/>
      <c r="F16" s="45"/>
      <c r="G16" s="46"/>
      <c r="I16" s="84" t="s">
        <v>173</v>
      </c>
      <c r="J16" s="83"/>
    </row>
    <row r="17" spans="2:13" ht="18" customHeight="1" thickBot="1">
      <c r="B17" s="47"/>
      <c r="C17" s="19"/>
      <c r="D17" s="48"/>
      <c r="E17" s="19"/>
      <c r="F17" s="47"/>
      <c r="G17" s="48"/>
      <c r="I17" s="47"/>
      <c r="J17" s="48"/>
    </row>
    <row r="18" spans="2:13" ht="19.899999999999999" customHeight="1">
      <c r="B18" s="180" t="s">
        <v>179</v>
      </c>
      <c r="C18" s="176" t="s">
        <v>169</v>
      </c>
      <c r="D18" s="177" t="s">
        <v>10</v>
      </c>
      <c r="E18" s="194"/>
      <c r="F18" s="181" t="s">
        <v>169</v>
      </c>
      <c r="G18" s="177" t="s">
        <v>10</v>
      </c>
      <c r="I18" s="71"/>
      <c r="J18" s="70"/>
    </row>
    <row r="19" spans="2:13" ht="19.899999999999999" customHeight="1">
      <c r="B19" s="36" t="s">
        <v>180</v>
      </c>
      <c r="C19" s="124">
        <f>SUM('Output TCO'!N3:N56)</f>
        <v>0</v>
      </c>
      <c r="D19" s="50">
        <f>SUM('Output TCO'!S3:S56)</f>
        <v>0</v>
      </c>
      <c r="E19" s="124"/>
      <c r="F19" s="115">
        <f>IF(C$16=0,0,C19/$C$16)</f>
        <v>0</v>
      </c>
      <c r="G19" s="50">
        <f>IF(D$16=0,0,D19/$D$16)</f>
        <v>0</v>
      </c>
      <c r="I19" s="63" t="s">
        <v>173</v>
      </c>
      <c r="J19" s="49"/>
    </row>
    <row r="20" spans="2:13" ht="19.899999999999999" customHeight="1">
      <c r="B20" s="36" t="s">
        <v>108</v>
      </c>
      <c r="C20" s="125">
        <f>BTW*C19</f>
        <v>0</v>
      </c>
      <c r="D20" s="27">
        <f>BTW*D19</f>
        <v>0</v>
      </c>
      <c r="E20" s="125"/>
      <c r="F20" s="115">
        <f t="shared" ref="F20:F22" si="0">IF(C$16=0,0,C20/$C$16)</f>
        <v>0</v>
      </c>
      <c r="G20" s="50">
        <f t="shared" ref="G20:G23" si="1">IF(D$16=0,0,D20/$D$16)</f>
        <v>0</v>
      </c>
      <c r="I20" s="63" t="s">
        <v>173</v>
      </c>
      <c r="J20" s="68"/>
    </row>
    <row r="21" spans="2:13" ht="19.899999999999999" customHeight="1">
      <c r="B21" s="36" t="s">
        <v>181</v>
      </c>
      <c r="C21" s="124">
        <f>SUM('Output TCO'!O3:O56)</f>
        <v>0</v>
      </c>
      <c r="D21" s="50">
        <f>SUM('Output TCO'!T3:T56)</f>
        <v>0</v>
      </c>
      <c r="E21" s="124"/>
      <c r="F21" s="115">
        <f t="shared" si="0"/>
        <v>0</v>
      </c>
      <c r="G21" s="50">
        <f t="shared" si="1"/>
        <v>0</v>
      </c>
      <c r="I21" s="63" t="s">
        <v>173</v>
      </c>
      <c r="J21" s="49"/>
    </row>
    <row r="22" spans="2:13" ht="19.899999999999999" customHeight="1">
      <c r="B22" s="36" t="s">
        <v>182</v>
      </c>
      <c r="C22" s="125">
        <f>C19+C21</f>
        <v>0</v>
      </c>
      <c r="D22" s="27">
        <f>D19+D21</f>
        <v>0</v>
      </c>
      <c r="E22" s="125"/>
      <c r="F22" s="115">
        <f t="shared" si="0"/>
        <v>0</v>
      </c>
      <c r="G22" s="50">
        <f t="shared" si="1"/>
        <v>0</v>
      </c>
      <c r="I22" s="63" t="s">
        <v>173</v>
      </c>
      <c r="J22" s="49"/>
    </row>
    <row r="23" spans="2:13" ht="19.899999999999999" customHeight="1">
      <c r="B23" s="36" t="s">
        <v>183</v>
      </c>
      <c r="C23" s="125">
        <f>SUM(C19:C21)</f>
        <v>0</v>
      </c>
      <c r="D23" s="27">
        <f>SUM(D19:D21)</f>
        <v>0</v>
      </c>
      <c r="E23" s="125"/>
      <c r="F23" s="115">
        <f>IF(C$16=0,0,C23/$C$16)</f>
        <v>0</v>
      </c>
      <c r="G23" s="50">
        <f t="shared" si="1"/>
        <v>0</v>
      </c>
      <c r="I23" s="63" t="s">
        <v>173</v>
      </c>
      <c r="J23" s="49"/>
    </row>
    <row r="24" spans="2:13" ht="19.899999999999999" customHeight="1">
      <c r="B24" s="36" t="s">
        <v>184</v>
      </c>
      <c r="C24" s="126">
        <f>0</f>
        <v>0</v>
      </c>
      <c r="D24" s="27">
        <f>SUM('Output TCO'!W3:W56)</f>
        <v>0</v>
      </c>
      <c r="E24" s="124"/>
      <c r="F24" s="115">
        <f>IF(C$16=0,0,C24/$C$16)</f>
        <v>0</v>
      </c>
      <c r="G24" s="50">
        <f>IF(D$16=0,0,D24/$D$16)</f>
        <v>0</v>
      </c>
      <c r="I24" s="63"/>
      <c r="J24" s="49"/>
    </row>
    <row r="25" spans="2:13" ht="19.899999999999999" customHeight="1">
      <c r="B25" s="36"/>
      <c r="C25" s="126"/>
      <c r="D25" s="27"/>
      <c r="E25" s="124"/>
      <c r="F25" s="115"/>
      <c r="G25" s="50"/>
      <c r="I25" s="63"/>
      <c r="J25" s="49"/>
    </row>
    <row r="26" spans="2:13" ht="19.899999999999999" customHeight="1">
      <c r="B26" s="36" t="s">
        <v>189</v>
      </c>
      <c r="C26" s="124">
        <f>SUM('Output TCO'!AE3:AE56)</f>
        <v>0</v>
      </c>
      <c r="D26" s="50">
        <f>SUM('Output TCO'!AM3:AM56)</f>
        <v>0</v>
      </c>
      <c r="E26" s="114"/>
      <c r="F26" s="60">
        <f>IF(C$16=0,0,C26/$C$16)</f>
        <v>0</v>
      </c>
      <c r="G26" s="27">
        <f>IF($D$16=0,0,D26/$D$16)</f>
        <v>0</v>
      </c>
      <c r="I26" s="63" t="s">
        <v>187</v>
      </c>
      <c r="J26" s="49"/>
    </row>
    <row r="27" spans="2:13" ht="19.899999999999999" customHeight="1" thickBot="1">
      <c r="B27" s="73" t="s">
        <v>829</v>
      </c>
      <c r="C27" s="55">
        <f>C26*looptijd*12</f>
        <v>0</v>
      </c>
      <c r="D27" s="56">
        <f>D26*looptijd*12</f>
        <v>0</v>
      </c>
      <c r="E27" s="114"/>
      <c r="F27" s="72">
        <f>IF(C$16=0,0,C27/$C$16)</f>
        <v>0</v>
      </c>
      <c r="G27" s="78">
        <f>IF($D$16=0,0,D27/$D$16)</f>
        <v>0</v>
      </c>
      <c r="I27" s="63"/>
      <c r="J27" s="49"/>
    </row>
    <row r="28" spans="2:13" ht="19.899999999999999" customHeight="1" thickBot="1">
      <c r="B28" s="52"/>
      <c r="C28" s="51"/>
      <c r="D28" s="50"/>
      <c r="E28" s="20"/>
      <c r="F28" s="60"/>
      <c r="G28" s="27"/>
      <c r="I28" s="71"/>
      <c r="J28" s="70"/>
    </row>
    <row r="29" spans="2:13" ht="19.899999999999999" customHeight="1">
      <c r="B29" s="182" t="s">
        <v>185</v>
      </c>
      <c r="C29" s="176" t="s">
        <v>169</v>
      </c>
      <c r="D29" s="177" t="s">
        <v>10</v>
      </c>
      <c r="E29" s="193"/>
      <c r="F29" s="181" t="s">
        <v>169</v>
      </c>
      <c r="G29" s="177" t="s">
        <v>10</v>
      </c>
      <c r="I29" s="71"/>
      <c r="J29" s="70"/>
    </row>
    <row r="30" spans="2:13" ht="19.899999999999999" customHeight="1">
      <c r="B30" s="36" t="s">
        <v>186</v>
      </c>
      <c r="C30" s="20">
        <f>SUM('Output TCO'!Y3:Y56)</f>
        <v>0</v>
      </c>
      <c r="D30" s="50">
        <f>SUM('Output TCO'!AG3:AG56)</f>
        <v>0</v>
      </c>
      <c r="E30" s="20"/>
      <c r="F30" s="60">
        <f>IF(C$16=0,0,C30/$C$16)</f>
        <v>0</v>
      </c>
      <c r="G30" s="27">
        <f>IF($D$16=0,0,D30/$D$16)</f>
        <v>0</v>
      </c>
      <c r="I30" s="63" t="s">
        <v>187</v>
      </c>
      <c r="J30" s="49"/>
      <c r="M30" s="22"/>
    </row>
    <row r="31" spans="2:13" ht="19.899999999999999" customHeight="1">
      <c r="B31" s="36" t="s">
        <v>188</v>
      </c>
      <c r="C31" s="20">
        <f>SUM('Output TCO'!Z3:Z56)</f>
        <v>0</v>
      </c>
      <c r="D31" s="50">
        <f>SUM('Output TCO'!AH3:AH56)</f>
        <v>0</v>
      </c>
      <c r="E31" s="20"/>
      <c r="F31" s="60">
        <f t="shared" ref="F31:F37" si="2">IF(C$16=0,0,C31/$C$16)</f>
        <v>0</v>
      </c>
      <c r="G31" s="27">
        <f>IF($D$16=0,0,D31/$D$16)</f>
        <v>0</v>
      </c>
      <c r="I31" s="63" t="s">
        <v>187</v>
      </c>
      <c r="J31" s="49"/>
      <c r="K31" s="22"/>
    </row>
    <row r="32" spans="2:13" ht="19.899999999999999" customHeight="1">
      <c r="B32" s="36" t="s">
        <v>136</v>
      </c>
      <c r="C32" s="20">
        <f>SUM('Output TCO'!AB3:AB56)/12</f>
        <v>0</v>
      </c>
      <c r="D32" s="50">
        <f>SUM('Output TCO'!AL3:AL56)/12</f>
        <v>0</v>
      </c>
      <c r="E32" s="20"/>
      <c r="F32" s="60">
        <f t="shared" si="2"/>
        <v>0</v>
      </c>
      <c r="G32" s="27">
        <f t="shared" ref="G32:G36" si="3">IF($D$16=0,0,D32/$D$16)</f>
        <v>0</v>
      </c>
      <c r="I32" s="63" t="s">
        <v>187</v>
      </c>
      <c r="J32" s="49"/>
      <c r="M32" s="22"/>
    </row>
    <row r="33" spans="1:10" ht="24" customHeight="1">
      <c r="B33" s="74" t="s">
        <v>190</v>
      </c>
      <c r="C33" s="53">
        <f>SUM(C30:C32)</f>
        <v>0</v>
      </c>
      <c r="D33" s="54">
        <f>SUM(D30:D32)</f>
        <v>0</v>
      </c>
      <c r="E33" s="13"/>
      <c r="F33" s="118">
        <f t="shared" si="2"/>
        <v>0</v>
      </c>
      <c r="G33" s="54">
        <f t="shared" si="3"/>
        <v>0</v>
      </c>
      <c r="I33" s="63" t="s">
        <v>187</v>
      </c>
      <c r="J33" s="49"/>
    </row>
    <row r="34" spans="1:10" ht="19.899999999999999" customHeight="1">
      <c r="B34" s="36"/>
      <c r="D34" s="49"/>
      <c r="F34" s="60"/>
      <c r="G34" s="27"/>
      <c r="I34" s="63"/>
      <c r="J34" s="49"/>
    </row>
    <row r="35" spans="1:10" ht="19.899999999999999" customHeight="1">
      <c r="B35" s="36" t="s">
        <v>191</v>
      </c>
      <c r="C35" s="20">
        <f>SUM('Output TCO'!AA3:AA56)</f>
        <v>0</v>
      </c>
      <c r="D35" s="50">
        <f>SUM('Output TCO'!AI3:AI56)</f>
        <v>0</v>
      </c>
      <c r="E35" s="20"/>
      <c r="F35" s="60">
        <f t="shared" si="2"/>
        <v>0</v>
      </c>
      <c r="G35" s="27">
        <f t="shared" si="3"/>
        <v>0</v>
      </c>
      <c r="I35" s="63" t="s">
        <v>192</v>
      </c>
      <c r="J35" s="49"/>
    </row>
    <row r="36" spans="1:10" ht="19.899999999999999" customHeight="1">
      <c r="B36" s="36" t="s">
        <v>193</v>
      </c>
      <c r="C36" s="20">
        <f>C35/12</f>
        <v>0</v>
      </c>
      <c r="D36" s="50">
        <f>D35/12</f>
        <v>0</v>
      </c>
      <c r="E36" s="20"/>
      <c r="F36" s="60">
        <f t="shared" si="2"/>
        <v>0</v>
      </c>
      <c r="G36" s="27">
        <f t="shared" si="3"/>
        <v>0</v>
      </c>
      <c r="I36" s="63" t="s">
        <v>187</v>
      </c>
      <c r="J36" s="49"/>
    </row>
    <row r="37" spans="1:10" ht="24" customHeight="1" thickBot="1">
      <c r="B37" s="75" t="s">
        <v>3</v>
      </c>
      <c r="C37" s="76">
        <f>C33+C36</f>
        <v>0</v>
      </c>
      <c r="D37" s="77">
        <f>D33+D36</f>
        <v>0</v>
      </c>
      <c r="E37" s="23"/>
      <c r="F37" s="116">
        <f t="shared" si="2"/>
        <v>0</v>
      </c>
      <c r="G37" s="77">
        <f>IF($D$16=0,0,D37/$D$16)</f>
        <v>0</v>
      </c>
      <c r="H37" s="11"/>
      <c r="I37" s="63" t="s">
        <v>187</v>
      </c>
      <c r="J37" s="49"/>
    </row>
    <row r="38" spans="1:10" ht="16.899999999999999" customHeight="1" thickBot="1">
      <c r="B38" s="52"/>
      <c r="C38" s="20"/>
      <c r="D38" s="50"/>
      <c r="E38" s="20"/>
      <c r="F38" s="60"/>
      <c r="G38" s="27"/>
      <c r="I38" s="71"/>
      <c r="J38" s="70"/>
    </row>
    <row r="39" spans="1:10" ht="19.899999999999999" customHeight="1">
      <c r="B39" s="182" t="s">
        <v>194</v>
      </c>
      <c r="C39" s="176" t="s">
        <v>169</v>
      </c>
      <c r="D39" s="177" t="s">
        <v>10</v>
      </c>
      <c r="E39" s="197"/>
      <c r="F39" s="181" t="s">
        <v>169</v>
      </c>
      <c r="G39" s="177" t="s">
        <v>10</v>
      </c>
      <c r="I39" s="71"/>
      <c r="J39" s="70"/>
    </row>
    <row r="40" spans="1:10" ht="19.899999999999999" customHeight="1">
      <c r="B40" s="36" t="s">
        <v>186</v>
      </c>
      <c r="C40" s="21">
        <f t="shared" ref="C40:D42" si="4">C30*looptijd*12</f>
        <v>0</v>
      </c>
      <c r="D40" s="27">
        <f t="shared" si="4"/>
        <v>0</v>
      </c>
      <c r="E40" s="20"/>
      <c r="F40" s="60">
        <f>IF($C$16=0,0,C40/$C$16)</f>
        <v>0</v>
      </c>
      <c r="G40" s="27">
        <f>IF($D$16=0,0,D40/$D$16)</f>
        <v>0</v>
      </c>
      <c r="I40" s="63"/>
      <c r="J40" s="49"/>
    </row>
    <row r="41" spans="1:10" ht="19.899999999999999" customHeight="1">
      <c r="B41" s="36" t="s">
        <v>188</v>
      </c>
      <c r="C41" s="21">
        <f t="shared" si="4"/>
        <v>0</v>
      </c>
      <c r="D41" s="27">
        <f t="shared" si="4"/>
        <v>0</v>
      </c>
      <c r="E41" s="20"/>
      <c r="F41" s="60">
        <f>IF($C$16=0,0,C41/$C$16)</f>
        <v>0</v>
      </c>
      <c r="G41" s="27">
        <f>IF($D$16=0,0,D41/$D$16)</f>
        <v>0</v>
      </c>
      <c r="I41" s="63"/>
      <c r="J41" s="49"/>
    </row>
    <row r="42" spans="1:10" ht="19.899999999999999" customHeight="1">
      <c r="B42" s="36" t="s">
        <v>136</v>
      </c>
      <c r="C42" s="21">
        <f t="shared" si="4"/>
        <v>0</v>
      </c>
      <c r="D42" s="27">
        <f t="shared" si="4"/>
        <v>0</v>
      </c>
      <c r="E42" s="20"/>
      <c r="F42" s="60">
        <f>IF($C$16=0,0,C42/$C$16)</f>
        <v>0</v>
      </c>
      <c r="G42" s="27">
        <f t="shared" ref="G42:G43" si="5">IF($D$16=0,0,D42/$D$16)</f>
        <v>0</v>
      </c>
      <c r="I42" s="63"/>
      <c r="J42" s="49"/>
    </row>
    <row r="43" spans="1:10" ht="19.899999999999999" customHeight="1" thickBot="1">
      <c r="B43" s="73" t="s">
        <v>193</v>
      </c>
      <c r="C43" s="55">
        <f>C35*looptijd</f>
        <v>0</v>
      </c>
      <c r="D43" s="56">
        <f>D35*looptijd</f>
        <v>0</v>
      </c>
      <c r="E43" s="21"/>
      <c r="F43" s="72">
        <f>IF($C$16=0,0,$C$43/$C$16)</f>
        <v>0</v>
      </c>
      <c r="G43" s="78">
        <f t="shared" si="5"/>
        <v>0</v>
      </c>
      <c r="I43" s="57" t="s">
        <v>173</v>
      </c>
      <c r="J43" s="69" t="s">
        <v>195</v>
      </c>
    </row>
    <row r="44" spans="1:10" ht="16.899999999999999" customHeight="1" thickBot="1">
      <c r="B44" s="19"/>
      <c r="I44" s="63"/>
      <c r="J44" s="49"/>
    </row>
    <row r="45" spans="1:10" ht="24" customHeight="1" thickBot="1">
      <c r="A45" s="192"/>
      <c r="B45" s="183" t="s">
        <v>196</v>
      </c>
      <c r="C45" s="184" t="s">
        <v>169</v>
      </c>
      <c r="D45" s="185" t="s">
        <v>10</v>
      </c>
      <c r="E45" s="205"/>
      <c r="F45" s="186" t="s">
        <v>169</v>
      </c>
      <c r="G45" s="187" t="s">
        <v>10</v>
      </c>
      <c r="I45" s="71"/>
      <c r="J45" s="70"/>
    </row>
    <row r="46" spans="1:10" ht="24" customHeight="1">
      <c r="B46" s="188" t="s">
        <v>197</v>
      </c>
      <c r="C46" s="79">
        <f>SUM(C40:C43)+C27</f>
        <v>0</v>
      </c>
      <c r="D46" s="80">
        <f>SUM(D40:D43)+D27</f>
        <v>0</v>
      </c>
      <c r="E46" s="24"/>
      <c r="F46" s="58">
        <f>IF($C$16=0,0,C46/$C$16)</f>
        <v>0</v>
      </c>
      <c r="G46" s="25">
        <f>IF($D$16=0,0,D46/$D$16)</f>
        <v>0</v>
      </c>
      <c r="I46" s="63" t="s">
        <v>173</v>
      </c>
      <c r="J46" s="49" t="s">
        <v>195</v>
      </c>
    </row>
    <row r="47" spans="1:10" ht="24" customHeight="1">
      <c r="B47" s="189" t="s">
        <v>198</v>
      </c>
      <c r="C47" s="59">
        <f>C46/(looptijd*12)</f>
        <v>0</v>
      </c>
      <c r="D47" s="26">
        <f>D46/(looptijd*12)</f>
        <v>0</v>
      </c>
      <c r="E47" s="24"/>
      <c r="F47" s="59">
        <f>IF($C$16=0,0,C47/$C$16)</f>
        <v>0</v>
      </c>
      <c r="G47" s="26">
        <f>IF($D$16=0,0,D47/$D$16)</f>
        <v>0</v>
      </c>
      <c r="I47" s="63" t="s">
        <v>187</v>
      </c>
      <c r="J47" s="49"/>
    </row>
    <row r="48" spans="1:10" ht="24" customHeight="1">
      <c r="B48" s="152"/>
      <c r="C48" s="63"/>
      <c r="D48" s="49"/>
      <c r="F48" s="60"/>
      <c r="G48" s="27"/>
      <c r="I48" s="63"/>
      <c r="J48" s="49"/>
    </row>
    <row r="49" spans="2:10" ht="24" customHeight="1">
      <c r="B49" s="190" t="s">
        <v>199</v>
      </c>
      <c r="C49" s="81">
        <v>0</v>
      </c>
      <c r="D49" s="198">
        <f>D46-C46</f>
        <v>0</v>
      </c>
      <c r="E49" s="28"/>
      <c r="F49" s="61"/>
      <c r="G49" s="29">
        <f>G46-F46</f>
        <v>0</v>
      </c>
      <c r="I49" s="63" t="s">
        <v>173</v>
      </c>
      <c r="J49" s="49"/>
    </row>
    <row r="50" spans="2:10" ht="24" customHeight="1" thickBot="1">
      <c r="B50" s="191" t="s">
        <v>200</v>
      </c>
      <c r="C50" s="82">
        <v>0</v>
      </c>
      <c r="D50" s="199">
        <f>D49/(looptijd*12)</f>
        <v>0</v>
      </c>
      <c r="E50" s="11"/>
      <c r="F50" s="62"/>
      <c r="G50" s="30">
        <f>G49/(looptijd*12)</f>
        <v>0</v>
      </c>
      <c r="I50" s="63" t="s">
        <v>173</v>
      </c>
      <c r="J50" s="49" t="s">
        <v>839</v>
      </c>
    </row>
    <row r="51" spans="2:10" ht="16.899999999999999" customHeight="1" thickBot="1">
      <c r="B51" s="31"/>
      <c r="C51" s="31"/>
      <c r="D51" s="32"/>
      <c r="E51" s="33"/>
      <c r="F51" s="31"/>
      <c r="G51" s="32"/>
      <c r="I51" s="71"/>
      <c r="J51" s="70"/>
    </row>
    <row r="52" spans="2:10" ht="24" customHeight="1" thickBot="1">
      <c r="B52" s="200" t="s">
        <v>201</v>
      </c>
      <c r="C52" s="201" t="s">
        <v>169</v>
      </c>
      <c r="D52" s="202" t="s">
        <v>10</v>
      </c>
      <c r="E52" s="204"/>
      <c r="F52" s="201" t="s">
        <v>169</v>
      </c>
      <c r="G52" s="202" t="s">
        <v>10</v>
      </c>
      <c r="I52" s="71"/>
      <c r="J52" s="70"/>
    </row>
    <row r="53" spans="2:10" ht="24" customHeight="1">
      <c r="B53" s="188" t="s">
        <v>202</v>
      </c>
      <c r="C53" s="119">
        <f>(SUM('Output TCO'!AP3:AP56)/1000)*looptijd</f>
        <v>0</v>
      </c>
      <c r="D53" s="120">
        <f>(SUM('Output TCO'!AS3:AS56)/1000)*looptijd</f>
        <v>0</v>
      </c>
      <c r="E53" s="34"/>
      <c r="F53" s="121">
        <f>IF($C$16=0,0,C53/$C$16)</f>
        <v>0</v>
      </c>
      <c r="G53" s="122">
        <f>IF($D$16=0,0,D53/$D$16)</f>
        <v>0</v>
      </c>
      <c r="I53" s="63" t="s">
        <v>203</v>
      </c>
      <c r="J53" s="49" t="s">
        <v>204</v>
      </c>
    </row>
    <row r="54" spans="2:10" ht="24" customHeight="1" thickBot="1">
      <c r="B54" s="203" t="s">
        <v>205</v>
      </c>
      <c r="C54" s="64"/>
      <c r="D54" s="35">
        <f>D53-C53</f>
        <v>0</v>
      </c>
      <c r="E54" s="65"/>
      <c r="F54" s="64"/>
      <c r="G54" s="123">
        <f>G53-F53</f>
        <v>0</v>
      </c>
      <c r="I54" s="57" t="s">
        <v>203</v>
      </c>
      <c r="J54" s="69" t="s">
        <v>206</v>
      </c>
    </row>
    <row r="55" spans="2:10" ht="16.899999999999999" customHeight="1">
      <c r="D55" s="22"/>
      <c r="E55" s="22"/>
      <c r="F55" s="22"/>
      <c r="G55" s="22"/>
    </row>
    <row r="56" spans="2:10">
      <c r="G56" s="22"/>
    </row>
    <row r="57" spans="2:10">
      <c r="C57" s="20"/>
      <c r="D57" s="20"/>
      <c r="E57" s="20"/>
      <c r="F57" s="20"/>
      <c r="G57" s="20"/>
    </row>
    <row r="58" spans="2:10">
      <c r="C58" s="20"/>
      <c r="D58" s="20"/>
      <c r="E58" s="20"/>
      <c r="F58" s="20"/>
      <c r="G58" s="20"/>
    </row>
    <row r="59" spans="2:10">
      <c r="C59" s="20"/>
      <c r="D59" s="20"/>
      <c r="E59" s="20"/>
      <c r="F59" s="20"/>
      <c r="G59" s="20"/>
    </row>
    <row r="60" spans="2:10">
      <c r="C60" s="20"/>
      <c r="D60" s="20"/>
      <c r="E60" s="20"/>
      <c r="F60" s="20"/>
      <c r="G60" s="20"/>
    </row>
    <row r="64" spans="2:10">
      <c r="G64" s="21"/>
    </row>
    <row r="65" spans="7:7">
      <c r="G65" s="21"/>
    </row>
  </sheetData>
  <sheetProtection algorithmName="SHA-512" hashValue="lyOSSAXZAVYg1nHexX0JH9YxBybeACPhTmD23Wmroh3r0b0yFqyC8aV5/SkDUp5vQnhaOJOcldSBQdZxG+3YaA==" saltValue="ed99knVwrpe4VgEWW/mLBg==" spinCount="100000" sheet="1" objects="1" scenarios="1"/>
  <mergeCells count="3">
    <mergeCell ref="C2:D2"/>
    <mergeCell ref="F2:G2"/>
    <mergeCell ref="I2:J2"/>
  </mergeCells>
  <conditionalFormatting sqref="D54">
    <cfRule type="colorScale" priority="7">
      <colorScale>
        <cfvo type="num" val="0"/>
        <cfvo type="max"/>
        <color theme="9"/>
        <color rgb="FFFF0000"/>
      </colorScale>
    </cfRule>
  </conditionalFormatting>
  <conditionalFormatting sqref="G54">
    <cfRule type="colorScale" priority="6">
      <colorScale>
        <cfvo type="num" val="0"/>
        <cfvo type="max"/>
        <color theme="9"/>
        <color rgb="FFFF0000"/>
      </colorScale>
    </cfRule>
  </conditionalFormatting>
  <conditionalFormatting sqref="D50">
    <cfRule type="colorScale" priority="5">
      <colorScale>
        <cfvo type="num" val="0"/>
        <cfvo type="max"/>
        <color theme="9"/>
        <color rgb="FFFF0000"/>
      </colorScale>
    </cfRule>
  </conditionalFormatting>
  <conditionalFormatting sqref="G50">
    <cfRule type="colorScale" priority="2">
      <colorScale>
        <cfvo type="num" val="0"/>
        <cfvo type="max"/>
        <color theme="9"/>
        <color rgb="FFFF0000"/>
      </colorScale>
    </cfRule>
  </conditionalFormatting>
  <conditionalFormatting sqref="D51:E51 D49:F49">
    <cfRule type="colorScale" priority="10">
      <colorScale>
        <cfvo type="num" val="0"/>
        <cfvo type="max"/>
        <color theme="9"/>
        <color rgb="FFFF0000"/>
      </colorScale>
    </cfRule>
  </conditionalFormatting>
  <conditionalFormatting sqref="G49">
    <cfRule type="colorScale" priority="3">
      <colorScale>
        <cfvo type="num" val="0"/>
        <cfvo type="max"/>
        <color theme="9"/>
        <color rgb="FFFF0000"/>
      </colorScale>
    </cfRule>
  </conditionalFormatting>
  <conditionalFormatting sqref="G51">
    <cfRule type="colorScale" priority="1">
      <colorScale>
        <cfvo type="num" val="0"/>
        <cfvo type="max"/>
        <color theme="9"/>
        <color rgb="FFFF0000"/>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sheetPr>
  <dimension ref="A1:H31"/>
  <sheetViews>
    <sheetView showGridLines="0" zoomScaleNormal="100" workbookViewId="0">
      <selection activeCell="B7" sqref="B7:H8"/>
    </sheetView>
  </sheetViews>
  <sheetFormatPr defaultColWidth="11" defaultRowHeight="15.75"/>
  <cols>
    <col min="1" max="1" width="4.75" customWidth="1"/>
    <col min="6" max="6" width="19.25" customWidth="1"/>
    <col min="7" max="7" width="19.5" customWidth="1"/>
    <col min="8" max="8" width="94.75" customWidth="1"/>
    <col min="9" max="10" width="29.75" customWidth="1"/>
  </cols>
  <sheetData>
    <row r="1" spans="1:8" ht="16.5" thickBot="1"/>
    <row r="2" spans="1:8" ht="27" thickBot="1">
      <c r="B2" s="410" t="s">
        <v>397</v>
      </c>
      <c r="C2" s="411"/>
      <c r="D2" s="411"/>
      <c r="E2" s="411"/>
      <c r="F2" s="411"/>
      <c r="G2" s="498"/>
      <c r="H2" s="499"/>
    </row>
    <row r="3" spans="1:8" ht="124.15" customHeight="1" thickBot="1">
      <c r="B3" s="500" t="s">
        <v>866</v>
      </c>
      <c r="C3" s="501"/>
      <c r="D3" s="501"/>
      <c r="E3" s="501"/>
      <c r="F3" s="501"/>
      <c r="G3" s="376"/>
      <c r="H3" s="377"/>
    </row>
    <row r="6" spans="1:8" ht="34.15" customHeight="1" thickBot="1">
      <c r="B6" s="502" t="s">
        <v>398</v>
      </c>
      <c r="C6" s="503"/>
      <c r="D6" s="503"/>
      <c r="E6" s="503"/>
      <c r="F6" s="503"/>
      <c r="G6" s="404"/>
      <c r="H6" s="404"/>
    </row>
    <row r="7" spans="1:8" ht="409.15" customHeight="1">
      <c r="A7" t="s">
        <v>820</v>
      </c>
      <c r="B7" s="504" t="s">
        <v>867</v>
      </c>
      <c r="C7" s="505"/>
      <c r="D7" s="505"/>
      <c r="E7" s="505"/>
      <c r="F7" s="505"/>
      <c r="G7" s="373"/>
      <c r="H7" s="374"/>
    </row>
    <row r="8" spans="1:8" ht="133.9" customHeight="1" thickBot="1">
      <c r="A8" t="s">
        <v>821</v>
      </c>
      <c r="B8" s="506"/>
      <c r="C8" s="507"/>
      <c r="D8" s="507"/>
      <c r="E8" s="507"/>
      <c r="F8" s="507"/>
      <c r="G8" s="376"/>
      <c r="H8" s="377"/>
    </row>
    <row r="9" spans="1:8">
      <c r="B9" s="105"/>
      <c r="C9" s="105"/>
      <c r="D9" s="105"/>
      <c r="E9" s="105"/>
      <c r="F9" s="105"/>
    </row>
    <row r="10" spans="1:8" ht="27" thickBot="1">
      <c r="B10" s="508" t="s">
        <v>399</v>
      </c>
      <c r="C10" s="509"/>
      <c r="D10" s="509"/>
      <c r="E10" s="509"/>
      <c r="F10" s="509"/>
      <c r="G10" s="404"/>
      <c r="H10" s="404"/>
    </row>
    <row r="11" spans="1:8" ht="24" customHeight="1">
      <c r="B11" s="249" t="s">
        <v>899</v>
      </c>
      <c r="C11" s="365"/>
      <c r="D11" s="365"/>
      <c r="E11" s="365"/>
      <c r="F11" s="365"/>
      <c r="G11" s="366" t="s">
        <v>898</v>
      </c>
      <c r="H11" s="367" t="s">
        <v>901</v>
      </c>
    </row>
    <row r="12" spans="1:8" ht="21">
      <c r="B12" s="510" t="s">
        <v>868</v>
      </c>
      <c r="C12" s="511"/>
      <c r="D12" s="511"/>
      <c r="E12" s="511"/>
      <c r="F12" s="368"/>
      <c r="G12" s="369"/>
      <c r="H12" s="370"/>
    </row>
    <row r="13" spans="1:8" ht="31.15" customHeight="1" thickBot="1">
      <c r="B13" s="512" t="s">
        <v>900</v>
      </c>
      <c r="C13" s="513"/>
      <c r="D13" s="513"/>
      <c r="E13" s="513"/>
      <c r="F13" s="513"/>
      <c r="G13" s="514"/>
      <c r="H13" s="371" t="s">
        <v>898</v>
      </c>
    </row>
    <row r="14" spans="1:8">
      <c r="B14" s="105"/>
      <c r="C14" s="105"/>
      <c r="D14" s="105"/>
      <c r="E14" s="105"/>
      <c r="F14" s="105"/>
    </row>
    <row r="15" spans="1:8">
      <c r="B15" s="105"/>
      <c r="C15" s="105"/>
      <c r="D15" s="105"/>
      <c r="E15" s="105"/>
      <c r="F15" s="105"/>
    </row>
    <row r="16" spans="1:8" ht="26.25">
      <c r="B16" s="515"/>
      <c r="C16" s="515"/>
      <c r="D16" s="515"/>
      <c r="E16" s="515"/>
      <c r="F16" s="515"/>
    </row>
    <row r="17" spans="2:6" ht="21">
      <c r="B17" s="516"/>
      <c r="C17" s="516"/>
      <c r="D17" s="516"/>
      <c r="E17" s="516"/>
      <c r="F17" s="516"/>
    </row>
    <row r="18" spans="2:6">
      <c r="B18" s="105"/>
      <c r="C18" s="105"/>
      <c r="D18" s="105"/>
      <c r="E18" s="105"/>
      <c r="F18" s="105"/>
    </row>
    <row r="19" spans="2:6">
      <c r="B19" s="105"/>
      <c r="C19" s="105"/>
      <c r="D19" s="105"/>
      <c r="E19" s="105"/>
      <c r="F19" s="105"/>
    </row>
    <row r="20" spans="2:6">
      <c r="B20" s="105"/>
      <c r="C20" s="105"/>
      <c r="D20" s="105"/>
      <c r="E20" s="105"/>
      <c r="F20" s="105"/>
    </row>
    <row r="21" spans="2:6" ht="26.25">
      <c r="B21" s="515"/>
      <c r="C21" s="515"/>
      <c r="D21" s="515"/>
      <c r="E21" s="515"/>
      <c r="F21" s="515"/>
    </row>
    <row r="22" spans="2:6" ht="21">
      <c r="B22" s="516"/>
      <c r="C22" s="516"/>
      <c r="D22" s="516"/>
      <c r="E22" s="516"/>
      <c r="F22" s="516"/>
    </row>
    <row r="23" spans="2:6">
      <c r="B23" s="105"/>
      <c r="C23" s="105"/>
      <c r="D23" s="105"/>
      <c r="E23" s="105"/>
      <c r="F23" s="105"/>
    </row>
    <row r="24" spans="2:6">
      <c r="B24" s="105"/>
      <c r="C24" s="105"/>
      <c r="D24" s="105"/>
      <c r="E24" s="105"/>
      <c r="F24" s="105"/>
    </row>
    <row r="25" spans="2:6">
      <c r="B25" s="105"/>
      <c r="C25" s="105"/>
      <c r="D25" s="105"/>
      <c r="E25" s="105"/>
      <c r="F25" s="105"/>
    </row>
    <row r="26" spans="2:6">
      <c r="B26" s="105"/>
      <c r="C26" s="105"/>
      <c r="D26" s="105"/>
      <c r="E26" s="105"/>
      <c r="F26" s="105"/>
    </row>
    <row r="27" spans="2:6">
      <c r="B27" s="105"/>
      <c r="C27" s="105"/>
      <c r="D27" s="105"/>
      <c r="E27" s="105"/>
      <c r="F27" s="105"/>
    </row>
    <row r="28" spans="2:6">
      <c r="B28" s="105"/>
      <c r="C28" s="105"/>
      <c r="D28" s="105"/>
      <c r="E28" s="105"/>
      <c r="F28" s="105"/>
    </row>
    <row r="29" spans="2:6">
      <c r="B29" s="105"/>
      <c r="C29" s="105"/>
      <c r="D29" s="105"/>
      <c r="E29" s="105"/>
      <c r="F29" s="105"/>
    </row>
    <row r="30" spans="2:6">
      <c r="B30" s="105"/>
      <c r="C30" s="105"/>
      <c r="D30" s="105"/>
      <c r="E30" s="105"/>
      <c r="F30" s="105"/>
    </row>
    <row r="31" spans="2:6">
      <c r="B31" s="105"/>
      <c r="C31" s="105"/>
      <c r="D31" s="105"/>
      <c r="E31" s="105"/>
      <c r="F31" s="105"/>
    </row>
  </sheetData>
  <sheetProtection algorithmName="SHA-512" hashValue="5WJLTX5QoJFWOQiBJ3gC07eq1SP8qVcs7rpRnTmhXhXV+sU6sg4DoNx1Dmv++aRkZpDIQWBa0i1s0c2wVJAuOg==" saltValue="h/gdBZygV0CDYiXnGYslEg==" spinCount="100000" sheet="1" objects="1" scenarios="1"/>
  <mergeCells count="11">
    <mergeCell ref="B12:E12"/>
    <mergeCell ref="B13:G13"/>
    <mergeCell ref="B21:F21"/>
    <mergeCell ref="B22:F22"/>
    <mergeCell ref="B16:F16"/>
    <mergeCell ref="B17:F17"/>
    <mergeCell ref="B2:H2"/>
    <mergeCell ref="B3:H3"/>
    <mergeCell ref="B6:H6"/>
    <mergeCell ref="B7:H8"/>
    <mergeCell ref="B10:H10"/>
  </mergeCells>
  <hyperlinks>
    <hyperlink ref="B12" r:id="rId1" tooltip="PIANOo, inkoopproces aanbsesteden" xr:uid="{00000000-0004-0000-0500-000000000000}"/>
    <hyperlink ref="B12:E12" r:id="rId2" tooltip="PIANOo, inkoopproces aanbesteden" display="https://www.pianoo.nl/nl/inkoopproces" xr:uid="{00000000-0004-0000-0500-000001000000}"/>
    <hyperlink ref="G11" r:id="rId3" xr:uid="{00000000-0004-0000-0500-000002000000}"/>
    <hyperlink ref="H13" r:id="rId4" xr:uid="{00000000-0004-0000-0500-000003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7"/>
  </sheetPr>
  <dimension ref="A1:Z279"/>
  <sheetViews>
    <sheetView zoomScale="110" zoomScaleNormal="110" workbookViewId="0">
      <pane xSplit="1" topLeftCell="B1" activePane="topRight" state="frozen"/>
      <selection pane="topRight" activeCell="A9" sqref="A9"/>
    </sheetView>
  </sheetViews>
  <sheetFormatPr defaultColWidth="11" defaultRowHeight="15.75"/>
  <cols>
    <col min="1" max="1" width="59.5" style="250" customWidth="1"/>
    <col min="2" max="2" width="17" style="250" customWidth="1"/>
    <col min="3" max="3" width="20.25" style="250" customWidth="1"/>
    <col min="4" max="4" width="19.25" style="250" customWidth="1"/>
    <col min="5" max="5" width="14.75" style="250" customWidth="1"/>
    <col min="6" max="7" width="21.25" style="250" customWidth="1"/>
    <col min="8" max="8" width="2.75" style="250" customWidth="1"/>
    <col min="9" max="9" width="22.5" style="250" customWidth="1"/>
    <col min="10" max="10" width="12" style="250" bestFit="1" customWidth="1"/>
    <col min="11" max="11" width="12.25" style="250" customWidth="1"/>
    <col min="12" max="12" width="18.25" style="250" customWidth="1"/>
    <col min="13" max="13" width="16.75" style="250" customWidth="1"/>
    <col min="14" max="14" width="18.75" style="250" customWidth="1"/>
    <col min="15" max="15" width="2" style="250" customWidth="1"/>
    <col min="16" max="16" width="11" style="250"/>
    <col min="17" max="17" width="14.5" style="250" bestFit="1" customWidth="1"/>
    <col min="18" max="18" width="17.25" style="250" customWidth="1"/>
    <col min="19" max="19" width="21.25" style="250" customWidth="1"/>
    <col min="20" max="20" width="11.25" style="250" customWidth="1"/>
    <col min="21" max="21" width="11" style="250"/>
    <col min="22" max="22" width="42.25" style="250" bestFit="1" customWidth="1"/>
    <col min="23" max="23" width="11.5" style="250" customWidth="1"/>
    <col min="24" max="24" width="13" style="250" customWidth="1"/>
    <col min="25" max="16384" width="11" style="250"/>
  </cols>
  <sheetData>
    <row r="1" spans="1:20" ht="27" customHeight="1">
      <c r="A1" s="5" t="s">
        <v>207</v>
      </c>
      <c r="B1" s="8"/>
      <c r="C1" s="525" t="s">
        <v>208</v>
      </c>
      <c r="D1" s="526"/>
      <c r="E1" s="526"/>
      <c r="F1" s="526"/>
      <c r="G1" s="526"/>
      <c r="H1" s="527"/>
      <c r="I1" s="527"/>
      <c r="J1" s="527"/>
      <c r="K1" s="527"/>
      <c r="L1" s="527"/>
      <c r="M1" s="527"/>
      <c r="N1" s="527"/>
      <c r="O1" s="527"/>
      <c r="P1" s="527"/>
      <c r="Q1" s="527"/>
      <c r="R1" s="527"/>
      <c r="S1" s="527"/>
      <c r="T1" s="528"/>
    </row>
    <row r="2" spans="1:20">
      <c r="A2" s="251"/>
      <c r="B2" s="252" t="s">
        <v>209</v>
      </c>
      <c r="C2" s="520" t="s">
        <v>210</v>
      </c>
      <c r="D2" s="521"/>
      <c r="E2" s="521"/>
      <c r="F2" s="521"/>
      <c r="G2" s="253"/>
      <c r="I2" s="520" t="s">
        <v>211</v>
      </c>
      <c r="J2" s="520"/>
      <c r="K2" s="520"/>
      <c r="L2" s="521"/>
      <c r="M2" s="529"/>
      <c r="N2" s="254"/>
      <c r="P2" s="520" t="s">
        <v>212</v>
      </c>
      <c r="Q2" s="520"/>
      <c r="R2" s="520"/>
      <c r="S2" s="520"/>
      <c r="T2" s="522"/>
    </row>
    <row r="3" spans="1:20">
      <c r="A3" s="251"/>
      <c r="B3" s="255"/>
      <c r="C3" s="254" t="s">
        <v>213</v>
      </c>
      <c r="D3" s="254" t="s">
        <v>214</v>
      </c>
      <c r="E3" s="254" t="s">
        <v>215</v>
      </c>
      <c r="F3" s="254" t="s">
        <v>216</v>
      </c>
      <c r="G3" s="254" t="s">
        <v>217</v>
      </c>
      <c r="H3" s="256"/>
      <c r="I3" s="254" t="s">
        <v>218</v>
      </c>
      <c r="J3" s="254" t="s">
        <v>181</v>
      </c>
      <c r="K3" s="254" t="s">
        <v>108</v>
      </c>
      <c r="L3" s="254" t="s">
        <v>219</v>
      </c>
      <c r="M3" s="254" t="s">
        <v>220</v>
      </c>
      <c r="N3" s="254" t="s">
        <v>221</v>
      </c>
      <c r="P3" s="254" t="s">
        <v>188</v>
      </c>
      <c r="Q3" s="254" t="s">
        <v>222</v>
      </c>
      <c r="R3" s="254" t="s">
        <v>136</v>
      </c>
      <c r="S3" s="254" t="s">
        <v>223</v>
      </c>
      <c r="T3" s="257" t="s">
        <v>149</v>
      </c>
    </row>
    <row r="4" spans="1:20">
      <c r="A4" s="251"/>
      <c r="B4" s="255"/>
      <c r="C4" s="253" t="s">
        <v>224</v>
      </c>
      <c r="D4" s="253" t="s">
        <v>224</v>
      </c>
      <c r="E4" s="253" t="s">
        <v>225</v>
      </c>
      <c r="F4" s="253" t="s">
        <v>226</v>
      </c>
      <c r="G4" s="253" t="s">
        <v>226</v>
      </c>
      <c r="H4" s="256"/>
      <c r="I4" s="253" t="s">
        <v>227</v>
      </c>
      <c r="J4" s="253" t="s">
        <v>228</v>
      </c>
      <c r="K4" s="253" t="s">
        <v>228</v>
      </c>
      <c r="L4" s="253" t="s">
        <v>229</v>
      </c>
      <c r="M4" s="253"/>
      <c r="N4" s="253" t="s">
        <v>228</v>
      </c>
      <c r="P4" s="253" t="s">
        <v>230</v>
      </c>
      <c r="Q4" s="253" t="s">
        <v>231</v>
      </c>
      <c r="R4" s="253" t="s">
        <v>232</v>
      </c>
      <c r="S4" s="253" t="s">
        <v>233</v>
      </c>
      <c r="T4" s="258" t="s">
        <v>234</v>
      </c>
    </row>
    <row r="5" spans="1:20">
      <c r="A5" s="6" t="s">
        <v>11</v>
      </c>
      <c r="B5" s="259" t="s">
        <v>235</v>
      </c>
      <c r="C5" s="259"/>
      <c r="D5" s="259"/>
      <c r="E5" s="260"/>
      <c r="F5" s="256"/>
      <c r="G5" s="256"/>
      <c r="H5" s="256"/>
      <c r="I5" s="261"/>
      <c r="J5" s="256"/>
      <c r="K5" s="262"/>
      <c r="L5" s="262"/>
      <c r="M5" s="263"/>
      <c r="N5" s="263"/>
      <c r="O5" s="263"/>
      <c r="P5" s="256"/>
      <c r="Q5" s="256"/>
      <c r="R5" s="264"/>
      <c r="S5" s="264"/>
      <c r="T5" s="265"/>
    </row>
    <row r="6" spans="1:20">
      <c r="A6" s="6" t="s">
        <v>16</v>
      </c>
      <c r="B6" s="259"/>
      <c r="C6" s="259">
        <f>gCO2_km_die_B</f>
        <v>89</v>
      </c>
      <c r="D6" s="259">
        <f t="shared" ref="D6:D13" si="0">E6*F6*10</f>
        <v>111.43500000000002</v>
      </c>
      <c r="E6" s="260">
        <f>verbr_die_B</f>
        <v>3.45</v>
      </c>
      <c r="F6" s="256">
        <f t="shared" ref="F6:F16" si="1">Efac_die_WTW</f>
        <v>3.23</v>
      </c>
      <c r="G6" s="266">
        <f t="shared" ref="G6:G16" si="2">Efac_die_TTW</f>
        <v>2.6059999999999999</v>
      </c>
      <c r="H6" s="256"/>
      <c r="I6" s="261">
        <f>cat_prijs_net_dies_B</f>
        <v>13301.25</v>
      </c>
      <c r="J6" s="261">
        <f>((C6-$A$148)*$F$148+$E$148)+(C6-$A$171)*$D$171</f>
        <v>3781.88</v>
      </c>
      <c r="K6" s="262">
        <f t="shared" ref="K6:K16" si="3">$B$115*I6</f>
        <v>2793.2624999999998</v>
      </c>
      <c r="L6" s="262">
        <f t="shared" ref="L6:L16" si="4">SUM(I6:K6)</f>
        <v>19876.392500000002</v>
      </c>
      <c r="M6" s="267">
        <v>22462</v>
      </c>
      <c r="N6" s="267">
        <v>0</v>
      </c>
      <c r="O6" s="267"/>
      <c r="P6" s="261">
        <f>MRB_die_B</f>
        <v>88.666666666666671</v>
      </c>
      <c r="Q6" s="256">
        <f t="shared" ref="Q6:Q16" si="5">prijs_die</f>
        <v>1.31</v>
      </c>
      <c r="R6" s="268">
        <f>$C$215</f>
        <v>3.1E-2</v>
      </c>
      <c r="S6" s="269">
        <f t="shared" ref="S6:S16" si="6">Rest_perc</f>
        <v>0.3</v>
      </c>
      <c r="T6" s="270">
        <f>(250+0.015*L6)/12</f>
        <v>45.678823958333339</v>
      </c>
    </row>
    <row r="7" spans="1:20">
      <c r="A7" s="6" t="s">
        <v>19</v>
      </c>
      <c r="B7" s="259"/>
      <c r="C7" s="259">
        <f>gCO2_km_die_C</f>
        <v>96.75</v>
      </c>
      <c r="D7" s="259">
        <f t="shared" si="0"/>
        <v>120.3175</v>
      </c>
      <c r="E7" s="260">
        <f>verbr_die_C</f>
        <v>3.7249999999999996</v>
      </c>
      <c r="F7" s="256">
        <f t="shared" si="1"/>
        <v>3.23</v>
      </c>
      <c r="G7" s="266">
        <f t="shared" si="2"/>
        <v>2.6059999999999999</v>
      </c>
      <c r="H7" s="256"/>
      <c r="I7" s="261">
        <f>cat_prijs_net_dies_C</f>
        <v>17984.25</v>
      </c>
      <c r="J7" s="261">
        <f>((C7-$A$148)*$F$148+$E$148)+(C7-$A$171)*$D$171</f>
        <v>4947.3249999999998</v>
      </c>
      <c r="K7" s="262">
        <f t="shared" si="3"/>
        <v>3776.6924999999997</v>
      </c>
      <c r="L7" s="262">
        <f t="shared" si="4"/>
        <v>26708.267500000002</v>
      </c>
      <c r="M7" s="267">
        <v>32200</v>
      </c>
      <c r="N7" s="267">
        <v>0</v>
      </c>
      <c r="O7" s="267"/>
      <c r="P7" s="261">
        <f>MRB_die_C</f>
        <v>110.66666666666667</v>
      </c>
      <c r="Q7" s="256">
        <f t="shared" si="5"/>
        <v>1.31</v>
      </c>
      <c r="R7" s="268">
        <f>$D$215</f>
        <v>3.9E-2</v>
      </c>
      <c r="S7" s="269">
        <f t="shared" si="6"/>
        <v>0.3</v>
      </c>
      <c r="T7" s="270">
        <f t="shared" ref="T7:T16" si="7">(250+0.015*L7)/12</f>
        <v>54.218667708333328</v>
      </c>
    </row>
    <row r="8" spans="1:20">
      <c r="A8" s="6" t="s">
        <v>22</v>
      </c>
      <c r="B8" s="259"/>
      <c r="C8" s="259">
        <f>gCO2_km_die_D</f>
        <v>104.75</v>
      </c>
      <c r="D8" s="259">
        <f t="shared" si="0"/>
        <v>129.19999999999999</v>
      </c>
      <c r="E8" s="260">
        <f>verbr_die_D</f>
        <v>4</v>
      </c>
      <c r="F8" s="256">
        <f t="shared" si="1"/>
        <v>3.23</v>
      </c>
      <c r="G8" s="266">
        <f t="shared" si="2"/>
        <v>2.6059999999999999</v>
      </c>
      <c r="H8" s="256"/>
      <c r="I8" s="261">
        <f>cat_prijs_net_dies_D</f>
        <v>29155.75</v>
      </c>
      <c r="J8" s="261">
        <f>((C8-$A$149)*$F$149+$E$149)+(C8-$A$171)*$D$171</f>
        <v>6663.3649999999998</v>
      </c>
      <c r="K8" s="262">
        <f t="shared" si="3"/>
        <v>6122.7074999999995</v>
      </c>
      <c r="L8" s="262">
        <f t="shared" si="4"/>
        <v>41941.822499999995</v>
      </c>
      <c r="M8" s="267">
        <v>42279</v>
      </c>
      <c r="N8" s="267">
        <v>0</v>
      </c>
      <c r="O8" s="267"/>
      <c r="P8" s="261">
        <f>MRB_die_D</f>
        <v>134</v>
      </c>
      <c r="Q8" s="256">
        <f t="shared" si="5"/>
        <v>1.31</v>
      </c>
      <c r="R8" s="268">
        <f>$E$215</f>
        <v>4.1000000000000002E-2</v>
      </c>
      <c r="S8" s="269">
        <f t="shared" si="6"/>
        <v>0.3</v>
      </c>
      <c r="T8" s="270">
        <f t="shared" si="7"/>
        <v>73.260611458333329</v>
      </c>
    </row>
    <row r="9" spans="1:20">
      <c r="A9" s="6" t="s">
        <v>26</v>
      </c>
      <c r="B9" s="259"/>
      <c r="C9" s="259">
        <f>gCO2_km_die_E</f>
        <v>121.5</v>
      </c>
      <c r="D9" s="259">
        <f t="shared" si="0"/>
        <v>149.38750000000002</v>
      </c>
      <c r="E9" s="260">
        <f>verbr_die_E</f>
        <v>4.625</v>
      </c>
      <c r="F9" s="256">
        <f t="shared" si="1"/>
        <v>3.23</v>
      </c>
      <c r="G9" s="266">
        <f t="shared" si="2"/>
        <v>2.6059999999999999</v>
      </c>
      <c r="H9" s="256"/>
      <c r="I9" s="261">
        <f>cat_prijs_net_dies_E</f>
        <v>41355</v>
      </c>
      <c r="J9" s="261">
        <f>((C9-$A$149)*$F$149+$E$149)+(C9-$A$171)*$D$171</f>
        <v>10455.23</v>
      </c>
      <c r="K9" s="262">
        <f t="shared" si="3"/>
        <v>8684.5499999999993</v>
      </c>
      <c r="L9" s="262">
        <f t="shared" si="4"/>
        <v>60494.78</v>
      </c>
      <c r="M9" s="267">
        <v>63000</v>
      </c>
      <c r="N9" s="267">
        <v>0</v>
      </c>
      <c r="O9" s="267"/>
      <c r="P9" s="261">
        <f>MRB_die_E</f>
        <v>148</v>
      </c>
      <c r="Q9" s="256">
        <f t="shared" si="5"/>
        <v>1.31</v>
      </c>
      <c r="R9" s="268">
        <f>$B$219</f>
        <v>0.05</v>
      </c>
      <c r="S9" s="269">
        <f t="shared" si="6"/>
        <v>0.3</v>
      </c>
      <c r="T9" s="270">
        <f t="shared" si="7"/>
        <v>96.451808333333318</v>
      </c>
    </row>
    <row r="10" spans="1:20">
      <c r="A10" s="6" t="s">
        <v>30</v>
      </c>
      <c r="B10" s="256"/>
      <c r="C10" s="259">
        <f>gCO2_km_die_F</f>
        <v>148</v>
      </c>
      <c r="D10" s="259">
        <f t="shared" si="0"/>
        <v>181.6875</v>
      </c>
      <c r="E10" s="260">
        <f>verbr_die_F</f>
        <v>5.625</v>
      </c>
      <c r="F10" s="256">
        <f t="shared" si="1"/>
        <v>3.23</v>
      </c>
      <c r="G10" s="266">
        <f t="shared" si="2"/>
        <v>2.6059999999999999</v>
      </c>
      <c r="H10" s="256"/>
      <c r="I10" s="261">
        <f>cat_prijs_net_dies_F</f>
        <v>80581.75</v>
      </c>
      <c r="J10" s="261">
        <f>((C10-$A$150)*$F$150+$E$150)+(C10-$A$171)*$D$171</f>
        <v>16814.3</v>
      </c>
      <c r="K10" s="262">
        <f t="shared" si="3"/>
        <v>16922.1675</v>
      </c>
      <c r="L10" s="262">
        <f t="shared" si="4"/>
        <v>114318.2175</v>
      </c>
      <c r="M10" s="267">
        <v>130300</v>
      </c>
      <c r="N10" s="267">
        <v>0</v>
      </c>
      <c r="O10" s="267"/>
      <c r="P10" s="261">
        <f>MRB_die_F</f>
        <v>183.33333333333334</v>
      </c>
      <c r="Q10" s="256">
        <f t="shared" si="5"/>
        <v>1.31</v>
      </c>
      <c r="R10" s="268">
        <f>$C$219</f>
        <v>5.6399999999999992E-2</v>
      </c>
      <c r="S10" s="269">
        <f t="shared" si="6"/>
        <v>0.3</v>
      </c>
      <c r="T10" s="270">
        <f t="shared" si="7"/>
        <v>163.73110520833333</v>
      </c>
    </row>
    <row r="11" spans="1:20">
      <c r="A11" s="6" t="s">
        <v>236</v>
      </c>
      <c r="B11" s="256"/>
      <c r="C11" s="259">
        <f>gCO2_km_die_J</f>
        <v>103.75</v>
      </c>
      <c r="D11" s="259">
        <f t="shared" si="0"/>
        <v>128.39249999999998</v>
      </c>
      <c r="E11" s="260">
        <f>verbr_die_J</f>
        <v>3.9750000000000001</v>
      </c>
      <c r="F11" s="256">
        <f t="shared" si="1"/>
        <v>3.23</v>
      </c>
      <c r="G11" s="266">
        <f t="shared" si="2"/>
        <v>2.6059999999999999</v>
      </c>
      <c r="H11" s="256"/>
      <c r="I11" s="261">
        <f>cat_prijs_net_dies_J</f>
        <v>16927</v>
      </c>
      <c r="J11" s="261">
        <f>((C11-$A$149)*$F$149+$E$149)+(C11-$A$171)*$D$171</f>
        <v>6436.9849999999997</v>
      </c>
      <c r="K11" s="262">
        <f t="shared" si="3"/>
        <v>3554.67</v>
      </c>
      <c r="L11" s="262">
        <f t="shared" si="4"/>
        <v>26918.654999999999</v>
      </c>
      <c r="M11" s="267">
        <v>38326</v>
      </c>
      <c r="N11" s="267">
        <v>0</v>
      </c>
      <c r="O11" s="267"/>
      <c r="P11" s="261">
        <f>MRB_die_J</f>
        <v>100.66666666666667</v>
      </c>
      <c r="Q11" s="256">
        <f t="shared" si="5"/>
        <v>1.31</v>
      </c>
      <c r="R11" s="268">
        <f>$D$219</f>
        <v>3.7999999999999999E-2</v>
      </c>
      <c r="S11" s="269">
        <f t="shared" si="6"/>
        <v>0.3</v>
      </c>
      <c r="T11" s="270">
        <f t="shared" si="7"/>
        <v>54.48165208333333</v>
      </c>
    </row>
    <row r="12" spans="1:20">
      <c r="A12" s="6" t="s">
        <v>33</v>
      </c>
      <c r="B12" s="256"/>
      <c r="C12" s="259">
        <f>gCO2_km_die_L</f>
        <v>108.25</v>
      </c>
      <c r="D12" s="259">
        <f t="shared" si="0"/>
        <v>133.23750000000001</v>
      </c>
      <c r="E12" s="260">
        <f>verbr_die_L</f>
        <v>4.125</v>
      </c>
      <c r="F12" s="256">
        <f t="shared" si="1"/>
        <v>3.23</v>
      </c>
      <c r="G12" s="266">
        <f t="shared" si="2"/>
        <v>2.6059999999999999</v>
      </c>
      <c r="H12" s="256"/>
      <c r="I12" s="261">
        <f>cat_prijs_net_dies_L</f>
        <v>21277.75</v>
      </c>
      <c r="J12" s="261">
        <f>((C12-$A$149)*$F$149+$E$149)+(C12-$A$171)*$D$171</f>
        <v>7455.6949999999997</v>
      </c>
      <c r="K12" s="262">
        <f t="shared" si="3"/>
        <v>4468.3274999999994</v>
      </c>
      <c r="L12" s="262">
        <f t="shared" si="4"/>
        <v>33201.772499999999</v>
      </c>
      <c r="M12" s="267">
        <v>45707</v>
      </c>
      <c r="N12" s="267">
        <v>0</v>
      </c>
      <c r="O12" s="267"/>
      <c r="P12" s="261">
        <f>MRB_die_L</f>
        <v>124.33333333333333</v>
      </c>
      <c r="Q12" s="256">
        <f t="shared" si="5"/>
        <v>1.31</v>
      </c>
      <c r="R12" s="268">
        <f>$E$219</f>
        <v>0.04</v>
      </c>
      <c r="S12" s="269">
        <f t="shared" si="6"/>
        <v>0.3</v>
      </c>
      <c r="T12" s="270">
        <f t="shared" si="7"/>
        <v>62.335548958333334</v>
      </c>
    </row>
    <row r="13" spans="1:20">
      <c r="A13" s="6" t="s">
        <v>37</v>
      </c>
      <c r="B13" s="256"/>
      <c r="C13" s="259">
        <f>gCO2_km_die_M</f>
        <v>151.5</v>
      </c>
      <c r="D13" s="259">
        <f t="shared" si="0"/>
        <v>186.5325</v>
      </c>
      <c r="E13" s="260">
        <f>verbr_die_M</f>
        <v>5.7750000000000004</v>
      </c>
      <c r="F13" s="256">
        <f t="shared" si="1"/>
        <v>3.23</v>
      </c>
      <c r="G13" s="266">
        <f t="shared" si="2"/>
        <v>2.6059999999999999</v>
      </c>
      <c r="H13" s="256"/>
      <c r="I13" s="261">
        <f>cat_prijs_net_dies_M</f>
        <v>52292</v>
      </c>
      <c r="J13" s="261">
        <f>((C13-$A$150)*$F$150+$E$150)+(C13-$A$171)*$D$171</f>
        <v>17921.629999999997</v>
      </c>
      <c r="K13" s="262">
        <f t="shared" si="3"/>
        <v>10981.32</v>
      </c>
      <c r="L13" s="262">
        <f t="shared" si="4"/>
        <v>81194.950000000012</v>
      </c>
      <c r="M13" s="267">
        <v>95725</v>
      </c>
      <c r="N13" s="267">
        <v>0</v>
      </c>
      <c r="O13" s="267"/>
      <c r="P13" s="261">
        <f>MRB_die_M</f>
        <v>195.33333333333334</v>
      </c>
      <c r="Q13" s="256">
        <f t="shared" si="5"/>
        <v>1.31</v>
      </c>
      <c r="R13" s="268">
        <f>$F$219</f>
        <v>6.2E-2</v>
      </c>
      <c r="S13" s="269">
        <f t="shared" si="6"/>
        <v>0.3</v>
      </c>
      <c r="T13" s="270">
        <f t="shared" si="7"/>
        <v>122.32702083333334</v>
      </c>
    </row>
    <row r="14" spans="1:20">
      <c r="A14" s="6" t="s">
        <v>237</v>
      </c>
      <c r="B14" s="256"/>
      <c r="C14" s="259">
        <f>gCO2_km_bestel_dies_klein</f>
        <v>112</v>
      </c>
      <c r="D14" s="259">
        <f t="shared" ref="D14:D16" si="8">E14*F14*10</f>
        <v>136.952</v>
      </c>
      <c r="E14" s="260">
        <f>verbr_die_bestel_klein</f>
        <v>4.24</v>
      </c>
      <c r="F14" s="256">
        <f t="shared" si="1"/>
        <v>3.23</v>
      </c>
      <c r="G14" s="266">
        <f t="shared" si="2"/>
        <v>2.6059999999999999</v>
      </c>
      <c r="H14" s="256"/>
      <c r="I14" s="261">
        <f>cat_prijs_net_die_bestel_klein</f>
        <v>13941.5</v>
      </c>
      <c r="J14" s="261">
        <f>(I14*$C$182)+$E$182</f>
        <v>5528.9454999999998</v>
      </c>
      <c r="K14" s="261">
        <f t="shared" si="3"/>
        <v>2927.7149999999997</v>
      </c>
      <c r="L14" s="262">
        <f t="shared" si="4"/>
        <v>22398.160500000002</v>
      </c>
      <c r="M14" s="256" t="s">
        <v>173</v>
      </c>
      <c r="N14" s="267">
        <v>0</v>
      </c>
      <c r="P14" s="261">
        <f>MRB_die_bestel_klein</f>
        <v>25</v>
      </c>
      <c r="Q14" s="256">
        <f t="shared" si="5"/>
        <v>1.31</v>
      </c>
      <c r="R14" s="264">
        <f>B223</f>
        <v>3.1E-2</v>
      </c>
      <c r="S14" s="269">
        <f t="shared" si="6"/>
        <v>0.3</v>
      </c>
      <c r="T14" s="270">
        <f t="shared" si="7"/>
        <v>48.831033958333336</v>
      </c>
    </row>
    <row r="15" spans="1:20">
      <c r="A15" s="6" t="s">
        <v>238</v>
      </c>
      <c r="B15" s="256"/>
      <c r="C15" s="259">
        <f>gCO2_km_bestel_dies_middel</f>
        <v>161.75</v>
      </c>
      <c r="D15" s="259">
        <f t="shared" si="8"/>
        <v>198.64499999999998</v>
      </c>
      <c r="E15" s="260">
        <f>verbr_die_bestel_middel</f>
        <v>6.1499999999999995</v>
      </c>
      <c r="F15" s="256">
        <f t="shared" si="1"/>
        <v>3.23</v>
      </c>
      <c r="G15" s="266">
        <f t="shared" si="2"/>
        <v>2.6059999999999999</v>
      </c>
      <c r="H15" s="256"/>
      <c r="I15" s="261">
        <f>cat_prijs_net_die_bestel_middel</f>
        <v>21618.75</v>
      </c>
      <c r="J15" s="261">
        <f>(I15*$C$182)+$E$182</f>
        <v>8423.2687499999993</v>
      </c>
      <c r="K15" s="261">
        <f t="shared" si="3"/>
        <v>4539.9375</v>
      </c>
      <c r="L15" s="262">
        <f t="shared" si="4"/>
        <v>34581.956250000003</v>
      </c>
      <c r="M15" s="256" t="s">
        <v>173</v>
      </c>
      <c r="N15" s="267">
        <v>0</v>
      </c>
      <c r="O15" s="256"/>
      <c r="P15" s="261">
        <f>MRB_die_bestel_middel</f>
        <v>35</v>
      </c>
      <c r="Q15" s="256">
        <f t="shared" si="5"/>
        <v>1.31</v>
      </c>
      <c r="R15" s="264">
        <f>C223</f>
        <v>6.2E-2</v>
      </c>
      <c r="S15" s="269">
        <f t="shared" si="6"/>
        <v>0.3</v>
      </c>
      <c r="T15" s="270">
        <f t="shared" si="7"/>
        <v>64.060778645833338</v>
      </c>
    </row>
    <row r="16" spans="1:20" ht="16.5" thickBot="1">
      <c r="A16" s="7" t="s">
        <v>239</v>
      </c>
      <c r="B16" s="271"/>
      <c r="C16" s="272">
        <f>gCO2_km_bestel_dies_groot</f>
        <v>171.71428571428572</v>
      </c>
      <c r="D16" s="272">
        <f t="shared" si="8"/>
        <v>210.8728571428571</v>
      </c>
      <c r="E16" s="273">
        <f>verbr_die_bestel_groot</f>
        <v>6.5285714285714276</v>
      </c>
      <c r="F16" s="271">
        <f t="shared" si="1"/>
        <v>3.23</v>
      </c>
      <c r="G16" s="274">
        <f t="shared" si="2"/>
        <v>2.6059999999999999</v>
      </c>
      <c r="H16" s="271"/>
      <c r="I16" s="275">
        <f>cat_prijs_net_die_bestel_groot</f>
        <v>24369.285714285714</v>
      </c>
      <c r="J16" s="275">
        <f>(I16*$C$182)+$E$182</f>
        <v>9460.2207142857133</v>
      </c>
      <c r="K16" s="275">
        <f t="shared" si="3"/>
        <v>5117.5499999999993</v>
      </c>
      <c r="L16" s="276">
        <f t="shared" si="4"/>
        <v>38947.056428571421</v>
      </c>
      <c r="M16" s="271" t="s">
        <v>173</v>
      </c>
      <c r="N16" s="277">
        <v>0</v>
      </c>
      <c r="O16" s="271"/>
      <c r="P16" s="275">
        <f>MRB_die_bestel_groot</f>
        <v>37</v>
      </c>
      <c r="Q16" s="271">
        <f t="shared" si="5"/>
        <v>1.31</v>
      </c>
      <c r="R16" s="278">
        <f>D223</f>
        <v>9.2999999999999999E-2</v>
      </c>
      <c r="S16" s="279">
        <f t="shared" si="6"/>
        <v>0.3</v>
      </c>
      <c r="T16" s="280">
        <f t="shared" si="7"/>
        <v>69.517153869047604</v>
      </c>
    </row>
    <row r="17" spans="1:23" ht="16.5" thickBot="1"/>
    <row r="18" spans="1:23" ht="25.15" customHeight="1">
      <c r="A18" s="5" t="s">
        <v>207</v>
      </c>
      <c r="B18" s="8"/>
      <c r="C18" s="525" t="s">
        <v>240</v>
      </c>
      <c r="D18" s="526"/>
      <c r="E18" s="526"/>
      <c r="F18" s="526"/>
      <c r="G18" s="526"/>
      <c r="H18" s="527"/>
      <c r="I18" s="527"/>
      <c r="J18" s="527"/>
      <c r="K18" s="527"/>
      <c r="L18" s="527"/>
      <c r="M18" s="527"/>
      <c r="N18" s="527"/>
      <c r="O18" s="527"/>
      <c r="P18" s="527"/>
      <c r="Q18" s="527"/>
      <c r="R18" s="527"/>
      <c r="S18" s="527"/>
      <c r="T18" s="528"/>
      <c r="W18" s="281"/>
    </row>
    <row r="19" spans="1:23">
      <c r="A19" s="251"/>
      <c r="B19" s="255" t="s">
        <v>209</v>
      </c>
      <c r="C19" s="520" t="s">
        <v>210</v>
      </c>
      <c r="D19" s="521"/>
      <c r="E19" s="521"/>
      <c r="F19" s="521"/>
      <c r="G19" s="253"/>
      <c r="I19" s="520" t="s">
        <v>211</v>
      </c>
      <c r="J19" s="520"/>
      <c r="K19" s="520"/>
      <c r="L19" s="521"/>
      <c r="M19" s="529"/>
      <c r="N19" s="254"/>
      <c r="P19" s="520" t="s">
        <v>241</v>
      </c>
      <c r="Q19" s="520"/>
      <c r="R19" s="520"/>
      <c r="S19" s="520"/>
      <c r="T19" s="522"/>
    </row>
    <row r="20" spans="1:23">
      <c r="A20" s="251"/>
      <c r="B20" s="255"/>
      <c r="C20" s="254" t="s">
        <v>213</v>
      </c>
      <c r="D20" s="254" t="s">
        <v>214</v>
      </c>
      <c r="E20" s="254" t="s">
        <v>215</v>
      </c>
      <c r="F20" s="254" t="s">
        <v>216</v>
      </c>
      <c r="G20" s="254" t="s">
        <v>217</v>
      </c>
      <c r="H20" s="256"/>
      <c r="I20" s="254" t="s">
        <v>218</v>
      </c>
      <c r="J20" s="254" t="s">
        <v>181</v>
      </c>
      <c r="K20" s="254" t="s">
        <v>108</v>
      </c>
      <c r="L20" s="254" t="s">
        <v>219</v>
      </c>
      <c r="M20" s="254" t="s">
        <v>242</v>
      </c>
      <c r="N20" s="254" t="s">
        <v>221</v>
      </c>
      <c r="P20" s="254" t="s">
        <v>243</v>
      </c>
      <c r="Q20" s="254" t="s">
        <v>222</v>
      </c>
      <c r="R20" s="254" t="s">
        <v>136</v>
      </c>
      <c r="S20" s="254" t="s">
        <v>223</v>
      </c>
      <c r="T20" s="257" t="s">
        <v>149</v>
      </c>
    </row>
    <row r="21" spans="1:23">
      <c r="A21" s="251"/>
      <c r="B21" s="255"/>
      <c r="C21" s="253" t="s">
        <v>224</v>
      </c>
      <c r="D21" s="253" t="s">
        <v>224</v>
      </c>
      <c r="E21" s="253" t="s">
        <v>225</v>
      </c>
      <c r="F21" s="253" t="s">
        <v>226</v>
      </c>
      <c r="G21" s="253" t="s">
        <v>226</v>
      </c>
      <c r="H21" s="256"/>
      <c r="I21" s="253" t="s">
        <v>227</v>
      </c>
      <c r="J21" s="253" t="s">
        <v>228</v>
      </c>
      <c r="K21" s="253" t="s">
        <v>228</v>
      </c>
      <c r="L21" s="253" t="s">
        <v>229</v>
      </c>
      <c r="M21" s="253"/>
      <c r="N21" s="253" t="s">
        <v>228</v>
      </c>
      <c r="P21" s="253" t="s">
        <v>230</v>
      </c>
      <c r="Q21" s="253" t="s">
        <v>231</v>
      </c>
      <c r="R21" s="253" t="s">
        <v>232</v>
      </c>
      <c r="S21" s="253" t="s">
        <v>233</v>
      </c>
      <c r="T21" s="258" t="s">
        <v>234</v>
      </c>
    </row>
    <row r="22" spans="1:23">
      <c r="A22" s="6" t="s">
        <v>11</v>
      </c>
      <c r="B22" s="259"/>
      <c r="C22" s="259">
        <f>gCO2_km_benz_A</f>
        <v>93.25</v>
      </c>
      <c r="D22" s="259">
        <f>E22*F22*10</f>
        <v>110.97</v>
      </c>
      <c r="E22" s="260">
        <f>verbr_benz_A</f>
        <v>4.05</v>
      </c>
      <c r="F22" s="256">
        <f t="shared" ref="F22:F30" si="9">Efac_benz_WTW</f>
        <v>2.74</v>
      </c>
      <c r="G22" s="266">
        <f t="shared" ref="G22:G30" si="10">Efac_benz_TTW</f>
        <v>2.2690000000000001</v>
      </c>
      <c r="H22" s="256"/>
      <c r="I22" s="261">
        <f>cat_prijs_net_benz_A</f>
        <v>7788.25</v>
      </c>
      <c r="J22" s="261">
        <f>((C22-$A$148)*$F$148+$E$148)</f>
        <v>1777.75</v>
      </c>
      <c r="K22" s="262">
        <f t="shared" ref="K22:K30" si="11">$B$115*I22</f>
        <v>1635.5325</v>
      </c>
      <c r="L22" s="262">
        <f>SUM(I22:K22)</f>
        <v>11201.532499999999</v>
      </c>
      <c r="M22" s="267">
        <v>13851</v>
      </c>
      <c r="N22" s="267">
        <v>0</v>
      </c>
      <c r="O22" s="267"/>
      <c r="P22" s="261">
        <f>MRB_benz_A</f>
        <v>21.666666666666668</v>
      </c>
      <c r="Q22" s="256">
        <f t="shared" ref="Q22:Q30" si="12">prijs_benz</f>
        <v>1.61</v>
      </c>
      <c r="R22" s="268">
        <f>$B$215</f>
        <v>2.1999999999999999E-2</v>
      </c>
      <c r="S22" s="269">
        <f t="shared" ref="S22:S30" si="13">Rest_perc</f>
        <v>0.3</v>
      </c>
      <c r="T22" s="270">
        <f>(250+0.015*L22)/12</f>
        <v>34.835248958333331</v>
      </c>
    </row>
    <row r="23" spans="1:23">
      <c r="A23" s="6" t="s">
        <v>16</v>
      </c>
      <c r="B23" s="259"/>
      <c r="C23" s="259">
        <f>gCO2_km_benz_B</f>
        <v>101.5</v>
      </c>
      <c r="D23" s="259">
        <f t="shared" ref="D23:D30" si="14">E23*F23*10</f>
        <v>121.93</v>
      </c>
      <c r="E23" s="260">
        <f>verbr_benz_B</f>
        <v>4.45</v>
      </c>
      <c r="F23" s="256">
        <f t="shared" si="9"/>
        <v>2.74</v>
      </c>
      <c r="G23" s="266">
        <f t="shared" si="10"/>
        <v>2.2690000000000001</v>
      </c>
      <c r="H23" s="256"/>
      <c r="I23" s="261">
        <f>cat_prijs_net_benz_B</f>
        <v>11742.25</v>
      </c>
      <c r="J23" s="261">
        <f>((C23-$A$149)*$F$149+$E$149)</f>
        <v>2563.5</v>
      </c>
      <c r="K23" s="262">
        <f t="shared" si="11"/>
        <v>2465.8724999999999</v>
      </c>
      <c r="L23" s="262">
        <f t="shared" ref="L23:L30" si="15">SUM(I23:K23)</f>
        <v>16771.622500000001</v>
      </c>
      <c r="M23" s="267">
        <v>19025</v>
      </c>
      <c r="N23" s="267">
        <v>0</v>
      </c>
      <c r="O23" s="267"/>
      <c r="P23" s="261">
        <f>MRB_benz_B</f>
        <v>40.666666666666664</v>
      </c>
      <c r="Q23" s="256">
        <f t="shared" si="12"/>
        <v>1.61</v>
      </c>
      <c r="R23" s="268">
        <f>$C$215</f>
        <v>3.1E-2</v>
      </c>
      <c r="S23" s="269">
        <f t="shared" si="13"/>
        <v>0.3</v>
      </c>
      <c r="T23" s="270">
        <f t="shared" ref="T23:T30" si="16">(250+0.015*L23)/12</f>
        <v>41.797861458333337</v>
      </c>
    </row>
    <row r="24" spans="1:23">
      <c r="A24" s="6" t="s">
        <v>19</v>
      </c>
      <c r="B24" s="259"/>
      <c r="C24" s="259">
        <f>gCO2_km_benz_C</f>
        <v>109.25</v>
      </c>
      <c r="D24" s="259">
        <f t="shared" si="14"/>
        <v>131.52000000000001</v>
      </c>
      <c r="E24" s="260">
        <f>verbr_benz_C</f>
        <v>4.8</v>
      </c>
      <c r="F24" s="256">
        <f t="shared" si="9"/>
        <v>2.74</v>
      </c>
      <c r="G24" s="266">
        <f t="shared" si="10"/>
        <v>2.2690000000000001</v>
      </c>
      <c r="H24" s="256"/>
      <c r="I24" s="261">
        <f>cat_prijs_net_benz_C</f>
        <v>15280.25</v>
      </c>
      <c r="J24" s="261">
        <f>((C24-$A$149)*$F$149+$E$149)</f>
        <v>3640.75</v>
      </c>
      <c r="K24" s="262">
        <f t="shared" si="11"/>
        <v>3208.8525</v>
      </c>
      <c r="L24" s="262">
        <f t="shared" si="15"/>
        <v>22129.852500000001</v>
      </c>
      <c r="M24" s="267">
        <v>29062</v>
      </c>
      <c r="N24" s="267">
        <v>0</v>
      </c>
      <c r="O24" s="267"/>
      <c r="P24" s="261">
        <f>MRB_benz_C</f>
        <v>54</v>
      </c>
      <c r="Q24" s="256">
        <f t="shared" si="12"/>
        <v>1.61</v>
      </c>
      <c r="R24" s="268">
        <f>$D$215</f>
        <v>3.9E-2</v>
      </c>
      <c r="S24" s="269">
        <f t="shared" si="13"/>
        <v>0.3</v>
      </c>
      <c r="T24" s="270">
        <f t="shared" si="16"/>
        <v>48.495648958333334</v>
      </c>
    </row>
    <row r="25" spans="1:23">
      <c r="A25" s="6" t="s">
        <v>22</v>
      </c>
      <c r="B25" s="259"/>
      <c r="C25" s="259">
        <f>gCO2_km_benz_D</f>
        <v>119.75</v>
      </c>
      <c r="D25" s="259">
        <f t="shared" si="14"/>
        <v>142.47999999999999</v>
      </c>
      <c r="E25" s="260">
        <f>verbr_benz_D</f>
        <v>5.1999999999999993</v>
      </c>
      <c r="F25" s="256">
        <f t="shared" si="9"/>
        <v>2.74</v>
      </c>
      <c r="G25" s="266">
        <f t="shared" si="10"/>
        <v>2.2690000000000001</v>
      </c>
      <c r="H25" s="256"/>
      <c r="I25" s="261">
        <f>cat_prijs_net_benz_D</f>
        <v>28063.5</v>
      </c>
      <c r="J25" s="261">
        <f>((C25-$A$149)*$F$149+$E$149)</f>
        <v>5100.25</v>
      </c>
      <c r="K25" s="262">
        <f t="shared" si="11"/>
        <v>5893.335</v>
      </c>
      <c r="L25" s="262">
        <f t="shared" si="15"/>
        <v>39057.084999999999</v>
      </c>
      <c r="M25" s="267">
        <v>43367</v>
      </c>
      <c r="N25" s="267">
        <v>0</v>
      </c>
      <c r="O25" s="267"/>
      <c r="P25" s="261">
        <f>MRB_benz_D</f>
        <v>68.666666666666671</v>
      </c>
      <c r="Q25" s="256">
        <f t="shared" si="12"/>
        <v>1.61</v>
      </c>
      <c r="R25" s="268">
        <f>$E$215</f>
        <v>4.1000000000000002E-2</v>
      </c>
      <c r="S25" s="269">
        <f t="shared" si="13"/>
        <v>0.3</v>
      </c>
      <c r="T25" s="270">
        <f t="shared" si="16"/>
        <v>69.654689583333337</v>
      </c>
    </row>
    <row r="26" spans="1:23">
      <c r="A26" s="6" t="s">
        <v>26</v>
      </c>
      <c r="B26" s="259"/>
      <c r="C26" s="259">
        <f>gCO2_km_benz_E</f>
        <v>150.5</v>
      </c>
      <c r="D26" s="259">
        <f t="shared" si="14"/>
        <v>180.15500000000003</v>
      </c>
      <c r="E26" s="260">
        <f>verbr_benz_E</f>
        <v>6.5750000000000002</v>
      </c>
      <c r="F26" s="256">
        <f t="shared" si="9"/>
        <v>2.74</v>
      </c>
      <c r="G26" s="266">
        <f t="shared" si="10"/>
        <v>2.2690000000000001</v>
      </c>
      <c r="H26" s="256"/>
      <c r="I26" s="261">
        <f>cat_prijs_net_benz_E</f>
        <v>41475.25</v>
      </c>
      <c r="J26" s="261">
        <f>((C26-$A$149)*$F$149+$E$149)</f>
        <v>9374.5</v>
      </c>
      <c r="K26" s="262">
        <f t="shared" si="11"/>
        <v>8709.8024999999998</v>
      </c>
      <c r="L26" s="262">
        <f>SUM(I26:K26)</f>
        <v>59559.552499999998</v>
      </c>
      <c r="M26" s="267">
        <v>62275</v>
      </c>
      <c r="N26" s="267">
        <v>0</v>
      </c>
      <c r="O26" s="267"/>
      <c r="P26" s="261">
        <f>MRB_benz_E</f>
        <v>78.333333333333329</v>
      </c>
      <c r="Q26" s="256">
        <f t="shared" si="12"/>
        <v>1.61</v>
      </c>
      <c r="R26" s="268">
        <f>$B$219</f>
        <v>0.05</v>
      </c>
      <c r="S26" s="269">
        <f t="shared" si="13"/>
        <v>0.3</v>
      </c>
      <c r="T26" s="270">
        <f t="shared" si="16"/>
        <v>95.282773958333337</v>
      </c>
    </row>
    <row r="27" spans="1:23">
      <c r="A27" s="6" t="s">
        <v>30</v>
      </c>
      <c r="B27" s="256"/>
      <c r="C27" s="259">
        <f>gCO2_km_benz_F</f>
        <v>172.25</v>
      </c>
      <c r="D27" s="259">
        <f t="shared" si="14"/>
        <v>206.185</v>
      </c>
      <c r="E27" s="260">
        <f>verbr_benz_F</f>
        <v>7.5250000000000004</v>
      </c>
      <c r="F27" s="256">
        <f t="shared" si="9"/>
        <v>2.74</v>
      </c>
      <c r="G27" s="266">
        <f t="shared" si="10"/>
        <v>2.2690000000000001</v>
      </c>
      <c r="H27" s="256"/>
      <c r="I27" s="261">
        <f>cat_prijs_net_benz_F</f>
        <v>76073</v>
      </c>
      <c r="J27" s="261">
        <f>((C27-$A$151)*$F$151+$E$151)+(C27-$A$171)*$D$171</f>
        <v>26833.764999999999</v>
      </c>
      <c r="K27" s="262">
        <f t="shared" si="11"/>
        <v>15975.33</v>
      </c>
      <c r="L27" s="262">
        <f t="shared" si="15"/>
        <v>118882.095</v>
      </c>
      <c r="M27" s="267">
        <v>183780</v>
      </c>
      <c r="N27" s="267">
        <v>0</v>
      </c>
      <c r="O27" s="267"/>
      <c r="P27" s="261">
        <f>MRB_benz_F</f>
        <v>101</v>
      </c>
      <c r="Q27" s="256">
        <f t="shared" si="12"/>
        <v>1.61</v>
      </c>
      <c r="R27" s="268">
        <f>$C$219</f>
        <v>5.6399999999999992E-2</v>
      </c>
      <c r="S27" s="269">
        <f t="shared" si="13"/>
        <v>0.3</v>
      </c>
      <c r="T27" s="270">
        <f t="shared" si="16"/>
        <v>169.43595208333332</v>
      </c>
    </row>
    <row r="28" spans="1:23">
      <c r="A28" s="6" t="s">
        <v>236</v>
      </c>
      <c r="B28" s="256"/>
      <c r="C28" s="259">
        <f>gCO2_km_benz_J</f>
        <v>129.5</v>
      </c>
      <c r="D28" s="259">
        <f t="shared" si="14"/>
        <v>155.49500000000003</v>
      </c>
      <c r="E28" s="260">
        <f>verbr_benz_J</f>
        <v>5.6750000000000007</v>
      </c>
      <c r="F28" s="256">
        <f t="shared" si="9"/>
        <v>2.74</v>
      </c>
      <c r="G28" s="266">
        <f t="shared" si="10"/>
        <v>2.2690000000000001</v>
      </c>
      <c r="H28" s="256"/>
      <c r="I28" s="261">
        <f>cat_prijs_net_benz_J</f>
        <v>11331</v>
      </c>
      <c r="J28" s="261">
        <f>((C28-$A$149)*$F$149+$E$149)</f>
        <v>6455.5</v>
      </c>
      <c r="K28" s="262">
        <f t="shared" si="11"/>
        <v>2379.5099999999998</v>
      </c>
      <c r="L28" s="262">
        <f t="shared" si="15"/>
        <v>20166.009999999998</v>
      </c>
      <c r="M28" s="267">
        <v>30499</v>
      </c>
      <c r="N28" s="267">
        <v>0</v>
      </c>
      <c r="O28" s="267"/>
      <c r="P28" s="261">
        <f>MRB_benz_J</f>
        <v>40.666666666666664</v>
      </c>
      <c r="Q28" s="256">
        <f t="shared" si="12"/>
        <v>1.61</v>
      </c>
      <c r="R28" s="268">
        <f>$D$219</f>
        <v>3.7999999999999999E-2</v>
      </c>
      <c r="S28" s="269">
        <f t="shared" si="13"/>
        <v>0.3</v>
      </c>
      <c r="T28" s="270">
        <f t="shared" si="16"/>
        <v>46.040845833333329</v>
      </c>
    </row>
    <row r="29" spans="1:23">
      <c r="A29" s="6" t="s">
        <v>33</v>
      </c>
      <c r="B29" s="256"/>
      <c r="C29" s="259">
        <f>gCO2_km_benz_L</f>
        <v>134.25</v>
      </c>
      <c r="D29" s="259">
        <f t="shared" si="14"/>
        <v>159.60500000000002</v>
      </c>
      <c r="E29" s="260">
        <f>verbr_benz_L</f>
        <v>5.8250000000000002</v>
      </c>
      <c r="F29" s="256">
        <f t="shared" si="9"/>
        <v>2.74</v>
      </c>
      <c r="G29" s="266">
        <f t="shared" si="10"/>
        <v>2.2690000000000001</v>
      </c>
      <c r="H29" s="256"/>
      <c r="I29" s="261">
        <f>cat_prijs_net_benz_L</f>
        <v>17731</v>
      </c>
      <c r="J29" s="261">
        <f>((C29-$A$149)*$F$149+$E$149)</f>
        <v>7115.75</v>
      </c>
      <c r="K29" s="262">
        <f t="shared" si="11"/>
        <v>3723.5099999999998</v>
      </c>
      <c r="L29" s="262">
        <f t="shared" si="15"/>
        <v>28570.26</v>
      </c>
      <c r="M29" s="267">
        <v>30756</v>
      </c>
      <c r="N29" s="267">
        <v>0</v>
      </c>
      <c r="O29" s="267"/>
      <c r="P29" s="261">
        <f>MRB_benz_L</f>
        <v>55.666666666666664</v>
      </c>
      <c r="Q29" s="256">
        <f t="shared" si="12"/>
        <v>1.61</v>
      </c>
      <c r="R29" s="268">
        <f>$E$219</f>
        <v>0.04</v>
      </c>
      <c r="S29" s="269">
        <f t="shared" si="13"/>
        <v>0.3</v>
      </c>
      <c r="T29" s="270">
        <f t="shared" si="16"/>
        <v>56.546158333333324</v>
      </c>
    </row>
    <row r="30" spans="1:23">
      <c r="A30" s="6" t="s">
        <v>37</v>
      </c>
      <c r="C30" s="259">
        <f>gCO2_km_benz_M</f>
        <v>203.25</v>
      </c>
      <c r="D30" s="259">
        <f t="shared" si="14"/>
        <v>241.12000000000006</v>
      </c>
      <c r="E30" s="260">
        <f>verbr_benz_M</f>
        <v>8.8000000000000007</v>
      </c>
      <c r="F30" s="256">
        <f t="shared" si="9"/>
        <v>2.74</v>
      </c>
      <c r="G30" s="266">
        <f t="shared" si="10"/>
        <v>2.2690000000000001</v>
      </c>
      <c r="H30" s="256"/>
      <c r="I30" s="261">
        <f>cat_prijs_net_benz_M</f>
        <v>56393.75</v>
      </c>
      <c r="J30" s="261">
        <f>((C30-$A$151)*$F$151+$E$151)</f>
        <v>31485.5</v>
      </c>
      <c r="K30" s="262">
        <f t="shared" si="11"/>
        <v>11842.6875</v>
      </c>
      <c r="L30" s="262">
        <f t="shared" si="15"/>
        <v>99721.9375</v>
      </c>
      <c r="M30" s="267">
        <v>93428</v>
      </c>
      <c r="N30" s="267">
        <v>0</v>
      </c>
      <c r="O30" s="267"/>
      <c r="P30" s="261">
        <f>MRB_benz_M</f>
        <v>116</v>
      </c>
      <c r="Q30" s="256">
        <f t="shared" si="12"/>
        <v>1.61</v>
      </c>
      <c r="R30" s="268">
        <f>$F$219</f>
        <v>6.2E-2</v>
      </c>
      <c r="S30" s="269">
        <f t="shared" si="13"/>
        <v>0.3</v>
      </c>
      <c r="T30" s="270">
        <f t="shared" si="16"/>
        <v>145.48575520833333</v>
      </c>
    </row>
    <row r="31" spans="1:23">
      <c r="A31" s="6" t="s">
        <v>237</v>
      </c>
      <c r="B31" s="256" t="s">
        <v>235</v>
      </c>
      <c r="C31" s="256"/>
      <c r="D31" s="256"/>
      <c r="E31" s="260"/>
      <c r="F31" s="256"/>
      <c r="G31" s="256"/>
      <c r="H31" s="256"/>
      <c r="I31" s="261"/>
      <c r="J31" s="256"/>
      <c r="K31" s="261"/>
      <c r="L31" s="262"/>
      <c r="M31" s="256"/>
      <c r="N31" s="267"/>
      <c r="O31" s="256"/>
      <c r="P31" s="256"/>
      <c r="Q31" s="256"/>
      <c r="R31" s="256"/>
      <c r="S31" s="256"/>
      <c r="T31" s="265"/>
    </row>
    <row r="32" spans="1:23">
      <c r="A32" s="6" t="s">
        <v>238</v>
      </c>
      <c r="B32" s="256" t="s">
        <v>235</v>
      </c>
      <c r="C32" s="256"/>
      <c r="D32" s="256"/>
      <c r="E32" s="282"/>
      <c r="F32" s="256"/>
      <c r="G32" s="256"/>
      <c r="H32" s="256"/>
      <c r="I32" s="261"/>
      <c r="J32" s="256"/>
      <c r="K32" s="261"/>
      <c r="L32" s="262"/>
      <c r="M32" s="256"/>
      <c r="N32" s="267"/>
      <c r="O32" s="256"/>
      <c r="P32" s="256"/>
      <c r="Q32" s="256"/>
      <c r="R32" s="256"/>
      <c r="S32" s="256"/>
      <c r="T32" s="265"/>
    </row>
    <row r="33" spans="1:26" ht="16.5" thickBot="1">
      <c r="A33" s="7" t="s">
        <v>239</v>
      </c>
      <c r="B33" s="271" t="s">
        <v>235</v>
      </c>
      <c r="C33" s="271"/>
      <c r="D33" s="271"/>
      <c r="E33" s="273"/>
      <c r="F33" s="271"/>
      <c r="G33" s="271"/>
      <c r="H33" s="271"/>
      <c r="I33" s="275"/>
      <c r="J33" s="271"/>
      <c r="K33" s="275"/>
      <c r="L33" s="276"/>
      <c r="M33" s="271"/>
      <c r="N33" s="277"/>
      <c r="O33" s="271"/>
      <c r="P33" s="271"/>
      <c r="Q33" s="271"/>
      <c r="R33" s="271"/>
      <c r="S33" s="271"/>
      <c r="T33" s="283"/>
    </row>
    <row r="34" spans="1:26" ht="16.5" thickBot="1"/>
    <row r="35" spans="1:26" ht="28.9" customHeight="1">
      <c r="A35" s="5" t="s">
        <v>207</v>
      </c>
      <c r="B35" s="8"/>
      <c r="C35" s="525" t="s">
        <v>244</v>
      </c>
      <c r="D35" s="526"/>
      <c r="E35" s="526"/>
      <c r="F35" s="526"/>
      <c r="G35" s="526"/>
      <c r="H35" s="527"/>
      <c r="I35" s="527"/>
      <c r="J35" s="527"/>
      <c r="K35" s="527"/>
      <c r="L35" s="527"/>
      <c r="M35" s="527"/>
      <c r="N35" s="527"/>
      <c r="O35" s="527"/>
      <c r="P35" s="527"/>
      <c r="Q35" s="527"/>
      <c r="R35" s="527"/>
      <c r="S35" s="527"/>
      <c r="T35" s="528"/>
      <c r="V35" s="517" t="s">
        <v>245</v>
      </c>
      <c r="W35" s="518"/>
      <c r="X35" s="519"/>
    </row>
    <row r="36" spans="1:26">
      <c r="A36" s="251"/>
      <c r="B36" s="252" t="s">
        <v>209</v>
      </c>
      <c r="C36" s="520" t="s">
        <v>210</v>
      </c>
      <c r="D36" s="521"/>
      <c r="E36" s="521"/>
      <c r="F36" s="521"/>
      <c r="G36" s="253"/>
      <c r="I36" s="520" t="s">
        <v>211</v>
      </c>
      <c r="J36" s="520"/>
      <c r="K36" s="520"/>
      <c r="L36" s="521"/>
      <c r="M36" s="529"/>
      <c r="N36" s="254"/>
      <c r="P36" s="520" t="s">
        <v>241</v>
      </c>
      <c r="Q36" s="520"/>
      <c r="R36" s="520"/>
      <c r="S36" s="520"/>
      <c r="T36" s="522"/>
      <c r="V36" s="284"/>
      <c r="W36" s="285"/>
      <c r="X36" s="286"/>
    </row>
    <row r="37" spans="1:26">
      <c r="A37" s="251"/>
      <c r="B37" s="255"/>
      <c r="C37" s="254" t="s">
        <v>213</v>
      </c>
      <c r="D37" s="254" t="s">
        <v>214</v>
      </c>
      <c r="E37" s="254" t="s">
        <v>215</v>
      </c>
      <c r="F37" s="254" t="s">
        <v>216</v>
      </c>
      <c r="G37" s="254" t="s">
        <v>217</v>
      </c>
      <c r="H37" s="256"/>
      <c r="I37" s="254" t="s">
        <v>218</v>
      </c>
      <c r="J37" s="254" t="s">
        <v>181</v>
      </c>
      <c r="K37" s="254" t="s">
        <v>108</v>
      </c>
      <c r="L37" s="254" t="s">
        <v>219</v>
      </c>
      <c r="M37" s="254" t="s">
        <v>246</v>
      </c>
      <c r="N37" s="254" t="s">
        <v>221</v>
      </c>
      <c r="P37" s="254" t="s">
        <v>243</v>
      </c>
      <c r="Q37" s="254" t="s">
        <v>222</v>
      </c>
      <c r="R37" s="254" t="s">
        <v>136</v>
      </c>
      <c r="S37" s="254" t="s">
        <v>223</v>
      </c>
      <c r="T37" s="257" t="s">
        <v>149</v>
      </c>
      <c r="V37" s="287" t="s">
        <v>247</v>
      </c>
      <c r="W37" s="254" t="s">
        <v>248</v>
      </c>
      <c r="X37" s="257" t="s">
        <v>249</v>
      </c>
    </row>
    <row r="38" spans="1:26">
      <c r="A38" s="251"/>
      <c r="B38" s="255"/>
      <c r="C38" s="253" t="s">
        <v>224</v>
      </c>
      <c r="D38" s="253" t="s">
        <v>224</v>
      </c>
      <c r="E38" s="253" t="s">
        <v>250</v>
      </c>
      <c r="F38" s="253" t="s">
        <v>251</v>
      </c>
      <c r="G38" s="253" t="s">
        <v>251</v>
      </c>
      <c r="H38" s="256"/>
      <c r="I38" s="253" t="s">
        <v>227</v>
      </c>
      <c r="J38" s="253" t="s">
        <v>228</v>
      </c>
      <c r="K38" s="253" t="s">
        <v>228</v>
      </c>
      <c r="L38" s="253" t="s">
        <v>229</v>
      </c>
      <c r="M38" s="253"/>
      <c r="N38" s="253" t="s">
        <v>228</v>
      </c>
      <c r="P38" s="253" t="s">
        <v>230</v>
      </c>
      <c r="Q38" s="253" t="s">
        <v>252</v>
      </c>
      <c r="R38" s="253" t="s">
        <v>232</v>
      </c>
      <c r="S38" s="253" t="s">
        <v>233</v>
      </c>
      <c r="T38" s="258" t="s">
        <v>234</v>
      </c>
      <c r="V38" s="284"/>
      <c r="W38" s="253" t="s">
        <v>253</v>
      </c>
      <c r="X38" s="258" t="s">
        <v>254</v>
      </c>
      <c r="Z38" s="288" t="s">
        <v>255</v>
      </c>
    </row>
    <row r="39" spans="1:26">
      <c r="A39" s="6" t="s">
        <v>11</v>
      </c>
      <c r="B39" s="259"/>
      <c r="C39" s="259">
        <f>E39*G39*10</f>
        <v>0</v>
      </c>
      <c r="D39" s="259">
        <f>E39*F39*10</f>
        <v>0</v>
      </c>
      <c r="E39" s="260">
        <f>BEV!I3</f>
        <v>16.7</v>
      </c>
      <c r="F39" s="266">
        <f>IF('2. Invoer parameters'!$C$8="Energie mix",Efac_elek_mix_WTW,IF('2. Invoer parameters'!$C$8="grijze stroom",Efac_elek_grijs_WTW,IF('2. Invoer parameters'!$C$8="Groene stroom",Efac_elek_groen_WTW,"")))</f>
        <v>0</v>
      </c>
      <c r="G39" s="266">
        <f>IF('2. Invoer parameters'!$C$8="Energie mix",Efac_elek_mix_TTW,IF('2. Invoer parameters'!$C$8="grijze stroom",Efac_elek_grijs_TTW,IF('2. Invoer parameters'!$C$8="groene stroom",Efac_elek_groen_TTW,"")))</f>
        <v>0</v>
      </c>
      <c r="H39" s="256"/>
      <c r="I39" s="261">
        <f>BEV!J3</f>
        <v>17686</v>
      </c>
      <c r="J39" s="262">
        <v>0</v>
      </c>
      <c r="K39" s="262">
        <f>$B$115*I39</f>
        <v>3714.06</v>
      </c>
      <c r="L39" s="262">
        <f t="shared" ref="L39:L50" si="17">SUM(I39:K39)</f>
        <v>21400.06</v>
      </c>
      <c r="M39" s="267">
        <v>25811</v>
      </c>
      <c r="N39" s="267">
        <f>IF(I39&lt;=50000,Netto_cat_BEV_A*$C$258*$C$259,50000*$C$258*$C$259)</f>
        <v>1591.74</v>
      </c>
      <c r="O39" s="256"/>
      <c r="P39" s="262">
        <v>0</v>
      </c>
      <c r="Q39" s="256">
        <f t="shared" ref="Q39:Q50" si="18">prijs_elek_berekening</f>
        <v>0.12</v>
      </c>
      <c r="R39" s="264">
        <f>$B$216</f>
        <v>1.6E-2</v>
      </c>
      <c r="S39" s="269">
        <f t="shared" ref="S39:S50" si="19">Rest_perc</f>
        <v>0.3</v>
      </c>
      <c r="T39" s="270">
        <f>(250+0.015*L39)/12</f>
        <v>47.583408333333331</v>
      </c>
      <c r="V39" s="289" t="s">
        <v>256</v>
      </c>
      <c r="W39" s="256">
        <f>BEV!G3</f>
        <v>90</v>
      </c>
      <c r="X39" s="265">
        <f>BEV!H3</f>
        <v>16</v>
      </c>
    </row>
    <row r="40" spans="1:26">
      <c r="A40" s="6" t="s">
        <v>16</v>
      </c>
      <c r="B40" s="259"/>
      <c r="C40" s="259">
        <f>E40*G40*10</f>
        <v>0</v>
      </c>
      <c r="D40" s="259">
        <f t="shared" ref="D40:D47" si="20">E40*F40*10</f>
        <v>0</v>
      </c>
      <c r="E40" s="260">
        <f>BEV!I8</f>
        <v>13.3</v>
      </c>
      <c r="F40" s="266">
        <f>IF('2. Invoer parameters'!$C$8="Energie mix",Efac_elek_mix_WTW,IF('2. Invoer parameters'!$C$8="grijze stroom",Efac_elek_grijs_WTW,IF('2. Invoer parameters'!$C$8="Groene stroom",Efac_elek_groen_WTW,"")))</f>
        <v>0</v>
      </c>
      <c r="G40" s="266">
        <f>IF('2. Invoer parameters'!$C$8="Energie mix",Efac_elek_mix_TTW,IF('2. Invoer parameters'!$C$8="grijze stroom",Efac_elek_grijs_TTW,IF('2. Invoer parameters'!$C$8="groene stroom",Efac_elek_groen_TTW,"")))</f>
        <v>0</v>
      </c>
      <c r="H40" s="256"/>
      <c r="I40" s="261">
        <f>BEV!J8</f>
        <v>28430</v>
      </c>
      <c r="J40" s="262">
        <v>0</v>
      </c>
      <c r="K40" s="262">
        <f>$B$115*I40</f>
        <v>5970.3</v>
      </c>
      <c r="L40" s="262">
        <f t="shared" si="17"/>
        <v>34400.300000000003</v>
      </c>
      <c r="M40" s="267">
        <v>27772</v>
      </c>
      <c r="N40" s="267">
        <f>IF(I40&lt;=50000, Netto_cat_BEV_B*$C$258*$C$259,50000*$C$258*$C$259)</f>
        <v>2558.6999999999998</v>
      </c>
      <c r="O40" s="256"/>
      <c r="P40" s="262">
        <v>0</v>
      </c>
      <c r="Q40" s="256">
        <f t="shared" si="18"/>
        <v>0.12</v>
      </c>
      <c r="R40" s="264">
        <f>$C$216</f>
        <v>1.7999999999999999E-2</v>
      </c>
      <c r="S40" s="269">
        <f t="shared" si="19"/>
        <v>0.3</v>
      </c>
      <c r="T40" s="270">
        <f t="shared" ref="T40:T50" si="21">(250+0.015*L40)/12</f>
        <v>63.833708333333334</v>
      </c>
      <c r="V40" s="289" t="s">
        <v>257</v>
      </c>
      <c r="W40" s="256">
        <f>BEV!G8</f>
        <v>250</v>
      </c>
      <c r="X40" s="265">
        <f>BEV!H8</f>
        <v>41</v>
      </c>
    </row>
    <row r="41" spans="1:26">
      <c r="A41" s="6" t="s">
        <v>19</v>
      </c>
      <c r="B41" s="259"/>
      <c r="C41" s="259">
        <f t="shared" ref="C41:C50" si="22">E41*G41*10</f>
        <v>0</v>
      </c>
      <c r="D41" s="259">
        <f t="shared" si="20"/>
        <v>0</v>
      </c>
      <c r="E41" s="260">
        <f>BEV!I10</f>
        <v>14.4</v>
      </c>
      <c r="F41" s="266">
        <f>IF('2. Invoer parameters'!$C$8="Energie mix",Efac_elek_mix_WTW,IF('2. Invoer parameters'!$C$8="grijze stroom",Efac_elek_grijs_WTW,IF('2. Invoer parameters'!$C$8="Groene stroom",Efac_elek_groen_WTW,"")))</f>
        <v>0</v>
      </c>
      <c r="G41" s="266">
        <f>IF('2. Invoer parameters'!$C$8="Energie mix",Efac_elek_mix_TTW,IF('2. Invoer parameters'!$C$8="grijze stroom",Efac_elek_grijs_TTW,IF('2. Invoer parameters'!$C$8="groene stroom",Efac_elek_groen_TTW,"")))</f>
        <v>0</v>
      </c>
      <c r="H41" s="256"/>
      <c r="I41" s="261">
        <f>BEV!J10</f>
        <v>26731</v>
      </c>
      <c r="J41" s="262">
        <v>0</v>
      </c>
      <c r="K41" s="262">
        <f>$B$115*I41</f>
        <v>5613.51</v>
      </c>
      <c r="L41" s="262">
        <f>SUM(I41:K41)</f>
        <v>32344.510000000002</v>
      </c>
      <c r="M41" s="267">
        <v>39758</v>
      </c>
      <c r="N41" s="267">
        <f>IF(I41&lt;=50000, Netto_cat_BEV_C*$C$258*$C$259,50000*$C$258*$C$259)</f>
        <v>2405.79</v>
      </c>
      <c r="O41" s="256"/>
      <c r="P41" s="262">
        <v>0</v>
      </c>
      <c r="Q41" s="256">
        <f t="shared" si="18"/>
        <v>0.12</v>
      </c>
      <c r="R41" s="264">
        <f>$D$216</f>
        <v>2.1999999999999999E-2</v>
      </c>
      <c r="S41" s="269">
        <f t="shared" si="19"/>
        <v>0.3</v>
      </c>
      <c r="T41" s="270">
        <f t="shared" si="21"/>
        <v>61.263970833333339</v>
      </c>
      <c r="V41" s="289" t="s">
        <v>258</v>
      </c>
      <c r="W41" s="256">
        <f>BEV!G12</f>
        <v>240</v>
      </c>
      <c r="X41" s="265">
        <f>BEV!H12</f>
        <v>40</v>
      </c>
    </row>
    <row r="42" spans="1:26">
      <c r="A42" s="6" t="s">
        <v>22</v>
      </c>
      <c r="B42" s="259"/>
      <c r="C42" s="259">
        <f t="shared" ref="C42" si="23">E42*G42*10</f>
        <v>0</v>
      </c>
      <c r="D42" s="259">
        <f t="shared" ref="D42" si="24">E42*F42*10</f>
        <v>0</v>
      </c>
      <c r="E42" s="260">
        <f>BEV!I10</f>
        <v>14.4</v>
      </c>
      <c r="F42" s="266">
        <f>IF('2. Invoer parameters'!$C$8="Energie mix",Efac_elek_mix_WTW,IF('2. Invoer parameters'!$C$8="grijze stroom",Efac_elek_grijs_WTW,IF('2. Invoer parameters'!$C$8="Groene stroom",Efac_elek_groen_WTW,"")))</f>
        <v>0</v>
      </c>
      <c r="G42" s="266">
        <f>IF('2. Invoer parameters'!$C$8="Energie mix",Efac_elek_mix_TTW,IF('2. Invoer parameters'!$C$8="grijze stroom",Efac_elek_grijs_TTW,IF('2. Invoer parameters'!$C$8="groene stroom",Efac_elek_groen_TTW,"")))</f>
        <v>0</v>
      </c>
      <c r="H42" s="256"/>
      <c r="I42" s="261">
        <f>BEV!J10</f>
        <v>26731</v>
      </c>
      <c r="J42" s="262">
        <v>0</v>
      </c>
      <c r="K42" s="262">
        <f>$B$115*I41</f>
        <v>5613.51</v>
      </c>
      <c r="L42" s="262">
        <f>SUM(I42:K42)</f>
        <v>32344.510000000002</v>
      </c>
      <c r="M42" s="267">
        <v>51744</v>
      </c>
      <c r="N42" s="267">
        <f>IF(I42&lt;=50000, Netto_cat_BEV_D*$C$258*$C$259,50000*$C$258*$C$259)</f>
        <v>2405.79</v>
      </c>
      <c r="O42" s="256"/>
      <c r="P42" s="262">
        <v>0</v>
      </c>
      <c r="Q42" s="256">
        <f t="shared" si="18"/>
        <v>0.12</v>
      </c>
      <c r="R42" s="264">
        <f>$D$216</f>
        <v>2.1999999999999999E-2</v>
      </c>
      <c r="S42" s="269">
        <f t="shared" si="19"/>
        <v>0.3</v>
      </c>
      <c r="T42" s="270">
        <f t="shared" si="21"/>
        <v>61.263970833333339</v>
      </c>
      <c r="V42" s="289" t="s">
        <v>258</v>
      </c>
      <c r="W42" s="256">
        <f>BEV!G12</f>
        <v>240</v>
      </c>
      <c r="X42" s="265">
        <f>BEV!H12</f>
        <v>40</v>
      </c>
      <c r="Z42" s="250" t="s">
        <v>259</v>
      </c>
    </row>
    <row r="43" spans="1:26">
      <c r="A43" s="6" t="s">
        <v>26</v>
      </c>
      <c r="B43" s="259"/>
      <c r="C43" s="259">
        <f t="shared" si="22"/>
        <v>0</v>
      </c>
      <c r="D43" s="259">
        <f t="shared" si="20"/>
        <v>0</v>
      </c>
      <c r="E43" s="260">
        <f>BEV!I15</f>
        <v>18.600000000000001</v>
      </c>
      <c r="F43" s="266">
        <f>IF('2. Invoer parameters'!$C$8="Energie mix",Efac_elek_mix_WTW,IF('2. Invoer parameters'!$C$8="grijze stroom",Efac_elek_grijs_WTW,IF('2. Invoer parameters'!$C$8="Groene stroom",Efac_elek_groen_WTW,"")))</f>
        <v>0</v>
      </c>
      <c r="G43" s="266">
        <f>IF('2. Invoer parameters'!$C$8="Energie mix",Efac_elek_mix_TTW,IF('2. Invoer parameters'!$C$8="grijze stroom",Efac_elek_grijs_TTW,IF('2. Invoer parameters'!$C$8="groene stroom",Efac_elek_groen_TTW,"")))</f>
        <v>0</v>
      </c>
      <c r="H43" s="256"/>
      <c r="I43" s="261">
        <f>BEV!J19</f>
        <v>76736</v>
      </c>
      <c r="J43" s="262">
        <v>0</v>
      </c>
      <c r="K43" s="262">
        <f>$B$115*I43</f>
        <v>16114.56</v>
      </c>
      <c r="L43" s="262">
        <f t="shared" si="17"/>
        <v>92850.559999999998</v>
      </c>
      <c r="M43" s="267">
        <v>110477</v>
      </c>
      <c r="N43" s="267">
        <f>IF(I43&lt;=50000, Netto_cat_BEV_E*$C$258*$C$259,50000*$C$258*$C$259)</f>
        <v>4500</v>
      </c>
      <c r="O43" s="256"/>
      <c r="P43" s="262">
        <v>0</v>
      </c>
      <c r="Q43" s="256">
        <f t="shared" si="18"/>
        <v>0.12</v>
      </c>
      <c r="R43" s="264">
        <f>$B$220</f>
        <v>0.05</v>
      </c>
      <c r="S43" s="269">
        <f t="shared" si="19"/>
        <v>0.3</v>
      </c>
      <c r="T43" s="270">
        <f t="shared" si="21"/>
        <v>136.89653333333334</v>
      </c>
      <c r="V43" s="289" t="s">
        <v>260</v>
      </c>
      <c r="W43" s="256">
        <f>BEV!G15</f>
        <v>390</v>
      </c>
      <c r="X43" s="265">
        <f>BEV!H15</f>
        <v>75</v>
      </c>
      <c r="Z43" s="250" t="s">
        <v>175</v>
      </c>
    </row>
    <row r="44" spans="1:26">
      <c r="A44" s="6" t="s">
        <v>30</v>
      </c>
      <c r="B44" s="256"/>
      <c r="C44" s="259">
        <f t="shared" si="22"/>
        <v>0</v>
      </c>
      <c r="D44" s="259">
        <f t="shared" si="20"/>
        <v>0</v>
      </c>
      <c r="E44" s="260">
        <f>BEV!I15</f>
        <v>18.600000000000001</v>
      </c>
      <c r="F44" s="266">
        <f>IF('2. Invoer parameters'!$C$8="Energie mix",Efac_elek_mix_WTW,IF('2. Invoer parameters'!$C$8="grijze stroom",Efac_elek_grijs_WTW,IF('2. Invoer parameters'!$C$8="Groene stroom",Efac_elek_groen_WTW,"")))</f>
        <v>0</v>
      </c>
      <c r="G44" s="266">
        <f>IF('2. Invoer parameters'!$C$8="Energie mix",Efac_elek_mix_TTW,IF('2. Invoer parameters'!$C$8="grijze stroom",Efac_elek_grijs_TTW,IF('2. Invoer parameters'!$C$8="groene stroom",Efac_elek_groen_TTW,"")))</f>
        <v>0</v>
      </c>
      <c r="H44" s="256"/>
      <c r="I44" s="261">
        <f>BEV!J19</f>
        <v>76736</v>
      </c>
      <c r="J44" s="262">
        <v>0</v>
      </c>
      <c r="K44" s="262">
        <f>$B$115*I44</f>
        <v>16114.56</v>
      </c>
      <c r="L44" s="262">
        <f t="shared" si="17"/>
        <v>92850.559999999998</v>
      </c>
      <c r="M44" s="267">
        <v>110477</v>
      </c>
      <c r="N44" s="267">
        <f>IF(I44&lt;=50000, Netto_cat_BEV_F*$C$258*$C$259,50000*$C$258*$C$259)</f>
        <v>4500</v>
      </c>
      <c r="O44" s="256"/>
      <c r="P44" s="262">
        <v>0</v>
      </c>
      <c r="Q44" s="256">
        <f t="shared" si="18"/>
        <v>0.12</v>
      </c>
      <c r="R44" s="264">
        <f>$C$220</f>
        <v>0.05</v>
      </c>
      <c r="S44" s="269">
        <f t="shared" si="19"/>
        <v>0.3</v>
      </c>
      <c r="T44" s="270">
        <f t="shared" si="21"/>
        <v>136.89653333333334</v>
      </c>
      <c r="V44" s="289" t="s">
        <v>260</v>
      </c>
      <c r="W44" s="256">
        <f>BEV!G15</f>
        <v>390</v>
      </c>
      <c r="X44" s="265">
        <f>BEV!H15</f>
        <v>75</v>
      </c>
    </row>
    <row r="45" spans="1:26" ht="31.5">
      <c r="A45" s="6" t="s">
        <v>236</v>
      </c>
      <c r="B45" s="290" t="s">
        <v>261</v>
      </c>
      <c r="C45" s="259"/>
      <c r="D45" s="259"/>
      <c r="F45" s="266">
        <f>IF('2. Invoer parameters'!$C$8="Energie mix",Efac_elek_mix_WTW,IF('2. Invoer parameters'!$C$8="grijze stroom",Efac_elek_grijs_WTW,IF('2. Invoer parameters'!$C$8="Groene stroom",Efac_elek_groen_WTW,"")))</f>
        <v>0</v>
      </c>
      <c r="G45" s="266">
        <f>IF('2. Invoer parameters'!$C$8="Energie mix",Efac_elek_mix_TTW,IF('2. Invoer parameters'!$C$8="grijze stroom",Efac_elek_grijs_TTW,IF('2. Invoer parameters'!$C$8="groene stroom",Efac_elek_groen_TTW,"")))</f>
        <v>0</v>
      </c>
      <c r="H45" s="256"/>
      <c r="I45" s="261"/>
      <c r="J45" s="262"/>
      <c r="K45" s="262"/>
      <c r="L45" s="262"/>
      <c r="M45" s="267"/>
      <c r="N45" s="267"/>
      <c r="O45" s="256"/>
      <c r="P45" s="262"/>
      <c r="Q45" s="256">
        <f t="shared" si="18"/>
        <v>0.12</v>
      </c>
      <c r="R45" s="256"/>
      <c r="S45" s="269">
        <f t="shared" si="19"/>
        <v>0.3</v>
      </c>
      <c r="T45" s="270">
        <f t="shared" si="21"/>
        <v>20.833333333333332</v>
      </c>
      <c r="V45" s="291" t="s">
        <v>262</v>
      </c>
      <c r="W45" s="256"/>
      <c r="X45" s="265"/>
    </row>
    <row r="46" spans="1:26">
      <c r="A46" s="6" t="s">
        <v>33</v>
      </c>
      <c r="B46" s="290"/>
      <c r="C46" s="259">
        <f t="shared" si="22"/>
        <v>0</v>
      </c>
      <c r="D46" s="259">
        <f t="shared" si="20"/>
        <v>0</v>
      </c>
      <c r="E46" s="260">
        <f>BEV!I18</f>
        <v>16</v>
      </c>
      <c r="F46" s="266">
        <f>IF('2. Invoer parameters'!$C$8="Energie mix",Efac_elek_mix_WTW,IF('2. Invoer parameters'!$C$8="grijze stroom",Efac_elek_grijs_WTW,IF('2. Invoer parameters'!$C$8="Groene stroom",Efac_elek_groen_WTW,"")))</f>
        <v>0</v>
      </c>
      <c r="G46" s="266">
        <f>IF('2. Invoer parameters'!$C$8="Energie mix",Efac_elek_mix_TTW,IF('2. Invoer parameters'!$C$8="grijze stroom",Efac_elek_grijs_TTW,IF('2. Invoer parameters'!$C$8="groene stroom",Efac_elek_groen_TTW,"")))</f>
        <v>0</v>
      </c>
      <c r="H46" s="256"/>
      <c r="I46" s="261">
        <v>31665</v>
      </c>
      <c r="J46" s="262">
        <v>0</v>
      </c>
      <c r="K46" s="262">
        <f>$B$115*I46</f>
        <v>6649.65</v>
      </c>
      <c r="L46" s="262">
        <f t="shared" si="17"/>
        <v>38314.65</v>
      </c>
      <c r="M46" s="267">
        <v>40900</v>
      </c>
      <c r="N46" s="267">
        <f>IF(I46&lt;=50000, Netto_cat_BEV_L*$C$258*$C$259,50000*$C$258*$C$259)</f>
        <v>2849.85</v>
      </c>
      <c r="O46" s="256"/>
      <c r="P46" s="262">
        <v>0</v>
      </c>
      <c r="Q46" s="256">
        <f t="shared" si="18"/>
        <v>0.12</v>
      </c>
      <c r="R46" s="264">
        <f>$E$220</f>
        <v>2.9000000000000001E-2</v>
      </c>
      <c r="S46" s="269">
        <f t="shared" si="19"/>
        <v>0.3</v>
      </c>
      <c r="T46" s="270">
        <f t="shared" si="21"/>
        <v>68.726645833333336</v>
      </c>
      <c r="V46" s="289" t="s">
        <v>36</v>
      </c>
      <c r="W46" s="256">
        <f>BEV!G18</f>
        <v>400</v>
      </c>
      <c r="X46" s="265">
        <f>BEV!H18</f>
        <v>67</v>
      </c>
    </row>
    <row r="47" spans="1:26">
      <c r="A47" s="6" t="s">
        <v>37</v>
      </c>
      <c r="B47" s="256"/>
      <c r="C47" s="259">
        <f t="shared" si="22"/>
        <v>0</v>
      </c>
      <c r="D47" s="259">
        <f t="shared" si="20"/>
        <v>0</v>
      </c>
      <c r="E47" s="260">
        <f>BEV!I21</f>
        <v>21.3</v>
      </c>
      <c r="F47" s="266">
        <f>IF('2. Invoer parameters'!$C$8="Energie mix",Efac_elek_mix_WTW,IF('2. Invoer parameters'!$C$8="grijze stroom",Efac_elek_grijs_WTW,IF('2. Invoer parameters'!$C$8="Groene stroom",Efac_elek_groen_WTW,"")))</f>
        <v>0</v>
      </c>
      <c r="G47" s="266">
        <f>IF('2. Invoer parameters'!$C$8="Energie mix",Efac_elek_mix_TTW,IF('2. Invoer parameters'!$C$8="grijze stroom",Efac_elek_grijs_TTW,IF('2. Invoer parameters'!$C$8="groene stroom",Efac_elek_groen_TTW,"")))</f>
        <v>0</v>
      </c>
      <c r="H47" s="256"/>
      <c r="I47" s="261">
        <f>BEV!J21</f>
        <v>65438</v>
      </c>
      <c r="J47" s="262">
        <v>0</v>
      </c>
      <c r="K47" s="262">
        <f>$B$115*I47</f>
        <v>13741.98</v>
      </c>
      <c r="L47" s="262">
        <f t="shared" si="17"/>
        <v>79179.98</v>
      </c>
      <c r="M47" s="267">
        <v>135828</v>
      </c>
      <c r="N47" s="267">
        <f>IF(I47&lt;=50000, Netto_cat_BEV_M*$C$258*$C$259,50000*$C$258*$C$259)</f>
        <v>4500</v>
      </c>
      <c r="O47" s="256"/>
      <c r="P47" s="262">
        <v>0</v>
      </c>
      <c r="Q47" s="256">
        <f t="shared" si="18"/>
        <v>0.12</v>
      </c>
      <c r="R47" s="264">
        <f>$F$220</f>
        <v>4.7E-2</v>
      </c>
      <c r="S47" s="269">
        <f t="shared" si="19"/>
        <v>0.3</v>
      </c>
      <c r="T47" s="270">
        <f t="shared" si="21"/>
        <v>119.80830833333333</v>
      </c>
      <c r="V47" s="289" t="s">
        <v>263</v>
      </c>
      <c r="W47" s="256">
        <f>BEV!G21</f>
        <v>400</v>
      </c>
      <c r="X47" s="265">
        <f>BEV!H21</f>
        <v>90</v>
      </c>
    </row>
    <row r="48" spans="1:26">
      <c r="A48" s="6" t="s">
        <v>237</v>
      </c>
      <c r="C48" s="259">
        <f>E48*G48*10</f>
        <v>0</v>
      </c>
      <c r="D48" s="259">
        <f>E48*F48*10</f>
        <v>0</v>
      </c>
      <c r="E48" s="260">
        <f>BEV!I48</f>
        <v>18.8</v>
      </c>
      <c r="F48" s="266">
        <f>IF('2. Invoer parameters'!$C$8="Energie mix",Efac_elek_mix_WTW,IF('2. Invoer parameters'!$C$8="grijze stroom",Efac_elek_grijs_WTW,IF('2. Invoer parameters'!$C$8="Groene stroom",Efac_elek_groen_WTW,"")))</f>
        <v>0</v>
      </c>
      <c r="G48" s="266">
        <f>IF('2. Invoer parameters'!$C$8="Energie mix",Efac_elek_mix_TTW,IF('2. Invoer parameters'!$C$8="grijze stroom",Efac_elek_grijs_TTW,IF('2. Invoer parameters'!$C$8="groene stroom",Efac_elek_groen_TTW,"")))</f>
        <v>0</v>
      </c>
      <c r="H48" s="256"/>
      <c r="I48" s="261">
        <f>BEV!J48</f>
        <v>30994.214876033056</v>
      </c>
      <c r="J48" s="262">
        <v>0</v>
      </c>
      <c r="K48" s="261">
        <f>$B$115*I48</f>
        <v>6508.7851239669417</v>
      </c>
      <c r="L48" s="262">
        <f t="shared" si="17"/>
        <v>37503</v>
      </c>
      <c r="M48" s="292"/>
      <c r="N48" s="267">
        <f>IF(I48&lt;=50000, Netto_cat_BEV_bestel_klein*$C$258*$C$259,50000*$C$258*$C$259)</f>
        <v>2789.4793388429748</v>
      </c>
      <c r="O48" s="256"/>
      <c r="P48" s="262">
        <v>0</v>
      </c>
      <c r="Q48" s="256">
        <f t="shared" si="18"/>
        <v>0.12</v>
      </c>
      <c r="R48" s="264">
        <f>B224</f>
        <v>2.1999999999999999E-2</v>
      </c>
      <c r="S48" s="269">
        <f t="shared" si="19"/>
        <v>0.3</v>
      </c>
      <c r="T48" s="270">
        <f t="shared" si="21"/>
        <v>67.712083333333325</v>
      </c>
      <c r="V48" s="289" t="s">
        <v>264</v>
      </c>
      <c r="W48" s="256">
        <f>BEV!G48</f>
        <v>165</v>
      </c>
      <c r="X48" s="265">
        <f>BEV!H48</f>
        <v>33</v>
      </c>
    </row>
    <row r="49" spans="1:24" ht="34.15" customHeight="1">
      <c r="A49" s="6" t="s">
        <v>238</v>
      </c>
      <c r="B49" s="290"/>
      <c r="C49" s="259">
        <f>E49*G49*10</f>
        <v>0</v>
      </c>
      <c r="D49" s="259">
        <f>E49*F49*10</f>
        <v>0</v>
      </c>
      <c r="E49" s="260">
        <f>(1/3.6)*100</f>
        <v>27.777777777777779</v>
      </c>
      <c r="F49" s="266">
        <f>IF('2. Invoer parameters'!$C$8="Energie mix",Efac_elek_mix_WTW,IF('2. Invoer parameters'!$C$8="grijze stroom",Efac_elek_grijs_WTW,IF('2. Invoer parameters'!$C$8="Groene stroom",Efac_elek_groen_WTW,"")))</f>
        <v>0</v>
      </c>
      <c r="G49" s="266">
        <f>IF('2. Invoer parameters'!$C$8="Energie mix",Efac_elek_mix_TTW,IF('2. Invoer parameters'!$C$8="grijze stroom",Efac_elek_grijs_TTW,IF('2. Invoer parameters'!$C$8="groene stroom",Efac_elek_groen_TTW,"")))</f>
        <v>0</v>
      </c>
      <c r="H49" s="256"/>
      <c r="I49" s="261">
        <v>47000</v>
      </c>
      <c r="J49" s="262">
        <v>0</v>
      </c>
      <c r="K49" s="261">
        <f>$B$115*I49</f>
        <v>9870</v>
      </c>
      <c r="L49" s="262">
        <f t="shared" si="17"/>
        <v>56870</v>
      </c>
      <c r="M49" s="292"/>
      <c r="N49" s="267">
        <f>IF(I49&lt;=50000, Netto_cat_BEV_bestel_klein*$C$258*$C$259,50000*$C$258*$C$259)</f>
        <v>2789.4793388429748</v>
      </c>
      <c r="O49" s="256"/>
      <c r="P49" s="262">
        <v>0</v>
      </c>
      <c r="Q49" s="256">
        <f t="shared" si="18"/>
        <v>0.12</v>
      </c>
      <c r="R49" s="264">
        <f>C224</f>
        <v>4.3999999999999997E-2</v>
      </c>
      <c r="S49" s="269">
        <f t="shared" si="19"/>
        <v>0.3</v>
      </c>
      <c r="T49" s="270">
        <f t="shared" si="21"/>
        <v>91.920833333333334</v>
      </c>
      <c r="V49" s="289" t="s">
        <v>265</v>
      </c>
      <c r="W49" s="256">
        <f>BEV!G53</f>
        <v>150</v>
      </c>
      <c r="X49" s="265">
        <f>BEV!H53</f>
        <v>41.4</v>
      </c>
    </row>
    <row r="50" spans="1:24" ht="16.5" thickBot="1">
      <c r="A50" s="7" t="s">
        <v>239</v>
      </c>
      <c r="B50" s="271"/>
      <c r="C50" s="272">
        <f t="shared" si="22"/>
        <v>0</v>
      </c>
      <c r="D50" s="272">
        <f>E50*F50*10</f>
        <v>0</v>
      </c>
      <c r="E50" s="273">
        <f>BEV!I52</f>
        <v>32.995940630573756</v>
      </c>
      <c r="F50" s="274">
        <f>IF('2. Invoer parameters'!$C$8="Energie mix",Efac_elek_mix_WTW,IF('2. Invoer parameters'!$C$8="grijze stroom",Efac_elek_grijs_WTW,IF('2. Invoer parameters'!$C$8="Groene stroom",Efac_elek_groen_WTW,"")))</f>
        <v>0</v>
      </c>
      <c r="G50" s="274">
        <f>IF('2. Invoer parameters'!$C$8="Energie mix",Efac_elek_mix_TTW,IF('2. Invoer parameters'!$C$8="grijze stroom",Efac_elek_grijs_TTW,IF('2. Invoer parameters'!$C$8="groene stroom",Efac_elek_groen_TTW,"")))</f>
        <v>0</v>
      </c>
      <c r="H50" s="271"/>
      <c r="I50" s="275">
        <f>BEV!J52</f>
        <v>62900</v>
      </c>
      <c r="J50" s="276">
        <v>0</v>
      </c>
      <c r="K50" s="275">
        <f>$B$115*I50</f>
        <v>13209</v>
      </c>
      <c r="L50" s="276">
        <f t="shared" si="17"/>
        <v>76109</v>
      </c>
      <c r="M50" s="293"/>
      <c r="N50" s="277">
        <f>IF(I50&lt;=50000, Netto_cat_BEV_bestel_groot*$C$258*$C$259,50000*$C$258*$C$259)</f>
        <v>4500</v>
      </c>
      <c r="O50" s="271"/>
      <c r="P50" s="276">
        <v>0</v>
      </c>
      <c r="Q50" s="271">
        <f t="shared" si="18"/>
        <v>0.12</v>
      </c>
      <c r="R50" s="278">
        <f>D224</f>
        <v>6.6000000000000003E-2</v>
      </c>
      <c r="S50" s="279">
        <f t="shared" si="19"/>
        <v>0.3</v>
      </c>
      <c r="T50" s="280">
        <f t="shared" si="21"/>
        <v>115.96958333333333</v>
      </c>
      <c r="V50" s="294" t="s">
        <v>266</v>
      </c>
      <c r="W50" s="272">
        <f>BEV!G52</f>
        <v>100.01230263283503</v>
      </c>
      <c r="X50" s="283">
        <f>BEV!H52</f>
        <v>33</v>
      </c>
    </row>
    <row r="52" spans="1:24">
      <c r="A52" s="250" t="s">
        <v>267</v>
      </c>
    </row>
    <row r="53" spans="1:24">
      <c r="A53" s="250" t="s">
        <v>268</v>
      </c>
    </row>
    <row r="54" spans="1:24">
      <c r="A54" s="250" t="s">
        <v>269</v>
      </c>
    </row>
    <row r="56" spans="1:24">
      <c r="A56" s="250" t="s">
        <v>270</v>
      </c>
      <c r="B56" s="295" t="s">
        <v>271</v>
      </c>
      <c r="V56" s="288"/>
    </row>
    <row r="57" spans="1:24">
      <c r="A57" s="288"/>
      <c r="B57" s="288"/>
      <c r="V57" s="288"/>
    </row>
    <row r="58" spans="1:24">
      <c r="A58" s="288" t="s">
        <v>272</v>
      </c>
      <c r="V58" s="288"/>
    </row>
    <row r="59" spans="1:24">
      <c r="A59" s="288"/>
      <c r="V59" s="288"/>
    </row>
    <row r="60" spans="1:24" ht="31.5">
      <c r="F60" s="296" t="s">
        <v>273</v>
      </c>
      <c r="G60" s="250" t="s">
        <v>274</v>
      </c>
      <c r="V60" s="288"/>
    </row>
    <row r="61" spans="1:24" ht="16.899999999999999" customHeight="1">
      <c r="A61" s="288" t="s">
        <v>275</v>
      </c>
      <c r="B61" s="297"/>
      <c r="F61" s="267">
        <v>82500</v>
      </c>
      <c r="G61" s="267">
        <v>18000</v>
      </c>
      <c r="V61" s="288"/>
    </row>
    <row r="62" spans="1:24" ht="16.899999999999999" customHeight="1">
      <c r="A62" s="250">
        <v>1</v>
      </c>
      <c r="B62" s="297">
        <v>0.8</v>
      </c>
      <c r="D62" s="298">
        <f>F62/$F$61</f>
        <v>0.78787878787878785</v>
      </c>
      <c r="E62" s="298">
        <f>G62/$G$61</f>
        <v>0.88888888888888884</v>
      </c>
      <c r="F62" s="267">
        <v>65000</v>
      </c>
      <c r="G62" s="267">
        <v>16000</v>
      </c>
      <c r="V62" s="288"/>
    </row>
    <row r="63" spans="1:24" ht="16.899999999999999" customHeight="1">
      <c r="A63" s="250">
        <v>2</v>
      </c>
      <c r="B63" s="297">
        <f>0.8*A63^(-0.609)</f>
        <v>0.52452080568625881</v>
      </c>
      <c r="D63" s="298">
        <f>F63/$F$61</f>
        <v>0.67878787878787883</v>
      </c>
      <c r="E63" s="298">
        <f>G63/$G$61</f>
        <v>0.83333333333333337</v>
      </c>
      <c r="F63" s="267">
        <v>56000</v>
      </c>
      <c r="G63" s="267">
        <v>15000</v>
      </c>
      <c r="V63" s="288"/>
    </row>
    <row r="64" spans="1:24" ht="16.899999999999999" customHeight="1">
      <c r="A64" s="250">
        <v>3</v>
      </c>
      <c r="B64" s="297">
        <f t="shared" ref="B64:B71" si="25">0.8*A64^(-0.609)</f>
        <v>0.40975394437291829</v>
      </c>
      <c r="D64" s="298">
        <f>F64/$F$61</f>
        <v>0.61818181818181817</v>
      </c>
      <c r="E64" s="298">
        <f>G64/$G$61</f>
        <v>0.5</v>
      </c>
      <c r="F64" s="267">
        <v>51000</v>
      </c>
      <c r="G64" s="267">
        <v>9000</v>
      </c>
      <c r="V64" s="288"/>
    </row>
    <row r="65" spans="1:22" ht="16.899999999999999" customHeight="1">
      <c r="A65" s="250">
        <v>4</v>
      </c>
      <c r="B65" s="297">
        <f t="shared" si="25"/>
        <v>0.34390259449720262</v>
      </c>
      <c r="D65" s="298">
        <f>F65/$F$61</f>
        <v>0.59393939393939399</v>
      </c>
      <c r="E65" s="298">
        <f>G65/$G$61</f>
        <v>0.3888888888888889</v>
      </c>
      <c r="F65" s="267">
        <v>49000</v>
      </c>
      <c r="G65" s="267">
        <v>7000</v>
      </c>
      <c r="I65" s="288"/>
      <c r="V65" s="288"/>
    </row>
    <row r="66" spans="1:22" ht="16.899999999999999" customHeight="1">
      <c r="A66" s="250">
        <v>5</v>
      </c>
      <c r="B66" s="297">
        <v>0.3</v>
      </c>
      <c r="D66" s="298">
        <f>F66/$F$61</f>
        <v>0.53333333333333333</v>
      </c>
      <c r="E66" s="298">
        <f>G66/$G$61</f>
        <v>0.33333333333333331</v>
      </c>
      <c r="F66" s="267">
        <v>44000</v>
      </c>
      <c r="G66" s="267">
        <v>6000</v>
      </c>
      <c r="V66" s="288"/>
    </row>
    <row r="67" spans="1:22" ht="16.899999999999999" customHeight="1">
      <c r="A67" s="250">
        <v>6</v>
      </c>
      <c r="B67" s="297">
        <f t="shared" si="25"/>
        <v>0.26865558629450698</v>
      </c>
      <c r="V67" s="288"/>
    </row>
    <row r="68" spans="1:22" ht="16.899999999999999" customHeight="1">
      <c r="A68" s="250">
        <v>7</v>
      </c>
      <c r="B68" s="297">
        <f t="shared" si="25"/>
        <v>0.24458244413244112</v>
      </c>
      <c r="V68" s="288"/>
    </row>
    <row r="69" spans="1:22" ht="16.899999999999999" customHeight="1">
      <c r="A69" s="250">
        <v>8</v>
      </c>
      <c r="B69" s="297">
        <f t="shared" si="25"/>
        <v>0.22548008242908435</v>
      </c>
      <c r="V69" s="288"/>
    </row>
    <row r="70" spans="1:22" ht="16.899999999999999" customHeight="1">
      <c r="A70" s="250">
        <v>9</v>
      </c>
      <c r="B70" s="297">
        <f t="shared" si="25"/>
        <v>0.20987286866145577</v>
      </c>
      <c r="V70" s="288"/>
    </row>
    <row r="71" spans="1:22" ht="16.899999999999999" customHeight="1">
      <c r="A71" s="250">
        <v>10</v>
      </c>
      <c r="B71" s="297">
        <f t="shared" si="25"/>
        <v>0.19682940833181017</v>
      </c>
      <c r="V71" s="288"/>
    </row>
    <row r="72" spans="1:22" ht="16.899999999999999" customHeight="1">
      <c r="B72" s="297"/>
      <c r="V72" s="288"/>
    </row>
    <row r="73" spans="1:22" ht="16.899999999999999" customHeight="1">
      <c r="A73" s="288" t="s">
        <v>276</v>
      </c>
      <c r="B73" s="297"/>
      <c r="V73" s="288"/>
    </row>
    <row r="74" spans="1:22" ht="34.9" customHeight="1">
      <c r="A74" s="296" t="s">
        <v>277</v>
      </c>
      <c r="B74" s="297"/>
      <c r="V74" s="288"/>
    </row>
    <row r="75" spans="1:22" ht="16.899999999999999" customHeight="1">
      <c r="B75" s="297"/>
      <c r="V75" s="288"/>
    </row>
    <row r="76" spans="1:22" ht="16.899999999999999" customHeight="1">
      <c r="A76" s="288" t="s">
        <v>66</v>
      </c>
      <c r="V76" s="288"/>
    </row>
    <row r="77" spans="1:22" ht="16.899999999999999" customHeight="1">
      <c r="A77" s="250" t="s">
        <v>67</v>
      </c>
      <c r="B77" s="295" t="s">
        <v>68</v>
      </c>
      <c r="V77" s="288"/>
    </row>
    <row r="78" spans="1:22" ht="16.899999999999999" customHeight="1">
      <c r="B78" s="295"/>
      <c r="V78" s="288"/>
    </row>
    <row r="79" spans="1:22" ht="16.899999999999999" customHeight="1">
      <c r="A79" s="288" t="s">
        <v>278</v>
      </c>
      <c r="V79" s="288"/>
    </row>
    <row r="80" spans="1:22">
      <c r="A80" s="288"/>
      <c r="V80" s="288"/>
    </row>
    <row r="81" spans="1:22" ht="31.5">
      <c r="A81" s="288" t="s">
        <v>69</v>
      </c>
      <c r="B81" s="288" t="s">
        <v>70</v>
      </c>
      <c r="C81" s="299" t="s">
        <v>279</v>
      </c>
      <c r="D81" s="299" t="s">
        <v>280</v>
      </c>
      <c r="V81" s="288"/>
    </row>
    <row r="82" spans="1:22">
      <c r="A82" s="250" t="s">
        <v>71</v>
      </c>
      <c r="B82" s="300">
        <v>2.74</v>
      </c>
      <c r="C82" s="300">
        <v>2.2690000000000001</v>
      </c>
      <c r="D82" s="250">
        <v>0.47099999999999997</v>
      </c>
      <c r="E82" s="250" t="s">
        <v>281</v>
      </c>
      <c r="V82" s="288"/>
    </row>
    <row r="83" spans="1:22">
      <c r="A83" s="250" t="s">
        <v>72</v>
      </c>
      <c r="B83" s="301">
        <v>3.23</v>
      </c>
      <c r="C83" s="250">
        <v>2.6059999999999999</v>
      </c>
      <c r="D83" s="250">
        <v>0.624</v>
      </c>
      <c r="E83" s="250" t="s">
        <v>281</v>
      </c>
      <c r="V83" s="288"/>
    </row>
    <row r="84" spans="1:22">
      <c r="A84" s="250" t="s">
        <v>282</v>
      </c>
      <c r="B84" s="250">
        <v>0.41299999999999998</v>
      </c>
      <c r="C84" s="250">
        <v>0.36099999999999999</v>
      </c>
      <c r="D84" s="250">
        <v>5.2999999999999999E-2</v>
      </c>
      <c r="E84" s="250" t="s">
        <v>283</v>
      </c>
    </row>
    <row r="85" spans="1:22">
      <c r="A85" s="250" t="s">
        <v>74</v>
      </c>
      <c r="B85" s="250">
        <v>0.64900000000000002</v>
      </c>
      <c r="C85" s="250">
        <v>0.57199999999999995</v>
      </c>
      <c r="D85" s="250">
        <v>7.6999999999999999E-2</v>
      </c>
      <c r="E85" s="250" t="s">
        <v>283</v>
      </c>
    </row>
    <row r="86" spans="1:22">
      <c r="A86" s="250" t="s">
        <v>75</v>
      </c>
      <c r="B86" s="301">
        <v>0</v>
      </c>
      <c r="C86" s="301">
        <v>0</v>
      </c>
      <c r="D86" s="301">
        <v>0</v>
      </c>
      <c r="E86" s="250" t="s">
        <v>283</v>
      </c>
    </row>
    <row r="87" spans="1:22">
      <c r="B87" s="301"/>
      <c r="C87" s="301"/>
      <c r="D87" s="301"/>
    </row>
    <row r="88" spans="1:22">
      <c r="A88" s="250" t="s">
        <v>284</v>
      </c>
      <c r="B88" s="250">
        <f>IF('2. Invoer parameters'!$C$8="Energie mix",Efac_elek_mix_WTW,IF('2. Invoer parameters'!$C$8="Grijze stroom",Efac_elek_grijs_WTW,IF('2. Invoer parameters'!$C$8="groene stroom",Efac_elek_groen_WTW,"ERROR")))</f>
        <v>0</v>
      </c>
      <c r="C88" s="250">
        <f>IF('2. Invoer parameters'!$C$8="Energie mix",Efac_elek_mix_TTW,IF('2. Invoer parameters'!$C$8="Grijze stroom",Efac_elek_grijs_TTW,IF('2. Invoer parameters'!$C$8="groene stroom",Efac_elek_groen_TTW,"ERROR")))</f>
        <v>0</v>
      </c>
      <c r="E88" s="250" t="s">
        <v>283</v>
      </c>
    </row>
    <row r="90" spans="1:22">
      <c r="A90" s="250" t="s">
        <v>285</v>
      </c>
      <c r="B90" s="250">
        <v>0.49359999999999998</v>
      </c>
    </row>
    <row r="95" spans="1:22">
      <c r="A95" s="288" t="s">
        <v>66</v>
      </c>
    </row>
    <row r="96" spans="1:22">
      <c r="A96" s="250" t="s">
        <v>286</v>
      </c>
      <c r="B96" s="295" t="s">
        <v>81</v>
      </c>
    </row>
    <row r="97" spans="1:7">
      <c r="A97" s="250" t="s">
        <v>287</v>
      </c>
      <c r="B97" s="295" t="s">
        <v>288</v>
      </c>
      <c r="C97" s="295"/>
    </row>
    <row r="99" spans="1:7">
      <c r="A99" s="288" t="s">
        <v>289</v>
      </c>
    </row>
    <row r="100" spans="1:7">
      <c r="A100" s="250" t="s">
        <v>290</v>
      </c>
    </row>
    <row r="102" spans="1:7">
      <c r="A102" s="288" t="s">
        <v>291</v>
      </c>
    </row>
    <row r="103" spans="1:7">
      <c r="A103" s="250" t="s">
        <v>292</v>
      </c>
    </row>
    <row r="105" spans="1:7" ht="34.15" customHeight="1">
      <c r="A105" s="524" t="s">
        <v>293</v>
      </c>
      <c r="B105" s="524"/>
      <c r="C105" s="524"/>
      <c r="D105" s="524"/>
      <c r="E105" s="524"/>
      <c r="F105" s="524"/>
      <c r="G105" s="524"/>
    </row>
    <row r="106" spans="1:7" ht="31.9" customHeight="1">
      <c r="A106" s="530"/>
      <c r="B106" s="524"/>
      <c r="C106" s="524"/>
      <c r="D106" s="524"/>
      <c r="E106" s="524"/>
      <c r="F106" s="524"/>
      <c r="G106" s="524"/>
    </row>
    <row r="111" spans="1:7">
      <c r="A111" s="288" t="s">
        <v>244</v>
      </c>
    </row>
    <row r="112" spans="1:7">
      <c r="A112" s="288"/>
    </row>
    <row r="114" spans="1:4">
      <c r="A114" s="288" t="s">
        <v>107</v>
      </c>
    </row>
    <row r="115" spans="1:4">
      <c r="A115" s="250" t="s">
        <v>108</v>
      </c>
      <c r="B115" s="297">
        <v>0.21</v>
      </c>
    </row>
    <row r="116" spans="1:4">
      <c r="B116" s="297"/>
    </row>
    <row r="117" spans="1:4">
      <c r="A117" s="288" t="s">
        <v>109</v>
      </c>
      <c r="B117" s="297"/>
    </row>
    <row r="118" spans="1:4">
      <c r="A118" s="250" t="s">
        <v>110</v>
      </c>
      <c r="B118" s="302">
        <v>1.61</v>
      </c>
      <c r="C118" s="250" t="s">
        <v>111</v>
      </c>
    </row>
    <row r="119" spans="1:4">
      <c r="A119" s="250" t="s">
        <v>112</v>
      </c>
      <c r="B119" s="302">
        <v>1.31</v>
      </c>
      <c r="C119" s="250" t="s">
        <v>111</v>
      </c>
    </row>
    <row r="120" spans="1:4">
      <c r="B120" s="297"/>
    </row>
    <row r="121" spans="1:4">
      <c r="A121" s="288" t="s">
        <v>113</v>
      </c>
      <c r="B121" s="297"/>
    </row>
    <row r="122" spans="1:4">
      <c r="A122" s="250" t="s">
        <v>114</v>
      </c>
      <c r="B122" s="303">
        <v>0.11</v>
      </c>
      <c r="C122" s="250" t="s">
        <v>115</v>
      </c>
      <c r="D122" s="288"/>
    </row>
    <row r="123" spans="1:4">
      <c r="A123" s="250" t="s">
        <v>116</v>
      </c>
      <c r="B123" s="303">
        <v>0.21</v>
      </c>
      <c r="C123" s="250" t="s">
        <v>115</v>
      </c>
    </row>
    <row r="124" spans="1:4">
      <c r="A124" s="250" t="s">
        <v>117</v>
      </c>
      <c r="B124" s="303">
        <v>0.34</v>
      </c>
      <c r="C124" s="250" t="s">
        <v>115</v>
      </c>
    </row>
    <row r="125" spans="1:4">
      <c r="A125" s="250" t="s">
        <v>118</v>
      </c>
      <c r="B125" s="303">
        <v>0.59</v>
      </c>
      <c r="C125" s="250" t="s">
        <v>115</v>
      </c>
    </row>
    <row r="126" spans="1:4" ht="16.899999999999999" customHeight="1">
      <c r="B126" s="303"/>
    </row>
    <row r="127" spans="1:4">
      <c r="A127" s="288" t="s">
        <v>66</v>
      </c>
      <c r="B127" s="297"/>
    </row>
    <row r="128" spans="1:4">
      <c r="A128" s="250" t="s">
        <v>294</v>
      </c>
      <c r="B128" s="297"/>
    </row>
    <row r="129" spans="1:8">
      <c r="A129" s="250" t="s">
        <v>120</v>
      </c>
      <c r="B129" s="297"/>
      <c r="C129" s="295" t="s">
        <v>121</v>
      </c>
    </row>
    <row r="130" spans="1:8">
      <c r="A130" s="250" t="s">
        <v>122</v>
      </c>
      <c r="B130" s="297"/>
      <c r="C130" s="295" t="s">
        <v>123</v>
      </c>
    </row>
    <row r="131" spans="1:8">
      <c r="A131" s="250" t="s">
        <v>124</v>
      </c>
      <c r="B131" s="297"/>
      <c r="C131" s="295" t="s">
        <v>125</v>
      </c>
    </row>
    <row r="132" spans="1:8">
      <c r="A132" s="250" t="s">
        <v>126</v>
      </c>
      <c r="B132" s="297"/>
      <c r="C132" s="295" t="s">
        <v>127</v>
      </c>
    </row>
    <row r="133" spans="1:8">
      <c r="B133" s="297"/>
    </row>
    <row r="134" spans="1:8">
      <c r="A134" s="288" t="s">
        <v>295</v>
      </c>
      <c r="B134" s="288"/>
    </row>
    <row r="135" spans="1:8">
      <c r="A135" s="288"/>
      <c r="B135" s="288"/>
      <c r="G135" s="296"/>
    </row>
    <row r="136" spans="1:8">
      <c r="B136" s="288"/>
      <c r="G136" s="288"/>
      <c r="H136" s="288"/>
    </row>
    <row r="137" spans="1:8">
      <c r="A137" s="288"/>
      <c r="G137" s="304"/>
    </row>
    <row r="138" spans="1:8">
      <c r="A138" s="288"/>
      <c r="B138" s="288"/>
      <c r="G138" s="304"/>
    </row>
    <row r="139" spans="1:8">
      <c r="A139" s="288"/>
      <c r="B139" s="288"/>
      <c r="G139" s="304"/>
    </row>
    <row r="140" spans="1:8">
      <c r="A140" s="288"/>
      <c r="B140" s="288"/>
      <c r="G140" s="304"/>
    </row>
    <row r="141" spans="1:8">
      <c r="A141" s="288"/>
      <c r="B141" s="288"/>
      <c r="G141" s="304"/>
    </row>
    <row r="142" spans="1:8">
      <c r="A142" s="288"/>
      <c r="B142" s="288"/>
      <c r="G142" s="288"/>
      <c r="H142" s="288"/>
    </row>
    <row r="143" spans="1:8">
      <c r="A143" s="288"/>
      <c r="B143" s="288"/>
      <c r="G143" s="305"/>
      <c r="H143" s="304"/>
    </row>
    <row r="144" spans="1:8">
      <c r="A144" s="306" t="s">
        <v>296</v>
      </c>
      <c r="B144" s="306"/>
      <c r="G144" s="305"/>
      <c r="H144" s="304"/>
    </row>
    <row r="145" spans="1:8" ht="31.5">
      <c r="A145" s="288" t="s">
        <v>297</v>
      </c>
      <c r="B145" s="288"/>
      <c r="D145" s="299" t="s">
        <v>298</v>
      </c>
      <c r="E145" s="523" t="s">
        <v>299</v>
      </c>
      <c r="F145" s="524"/>
      <c r="G145" s="305"/>
      <c r="H145" s="267"/>
    </row>
    <row r="146" spans="1:8">
      <c r="A146" s="307" t="s">
        <v>300</v>
      </c>
      <c r="B146" s="307"/>
      <c r="C146" s="288"/>
      <c r="D146" s="288" t="s">
        <v>301</v>
      </c>
      <c r="E146" s="288" t="s">
        <v>302</v>
      </c>
      <c r="F146" s="288" t="s">
        <v>303</v>
      </c>
    </row>
    <row r="147" spans="1:8">
      <c r="A147" s="250">
        <v>0</v>
      </c>
      <c r="C147" s="250" t="s">
        <v>304</v>
      </c>
      <c r="D147" s="250">
        <v>73</v>
      </c>
      <c r="E147" s="304">
        <v>356</v>
      </c>
      <c r="F147" s="304">
        <v>2</v>
      </c>
    </row>
    <row r="148" spans="1:8">
      <c r="A148" s="250">
        <v>73</v>
      </c>
      <c r="C148" s="250" t="s">
        <v>304</v>
      </c>
      <c r="D148" s="250">
        <v>98</v>
      </c>
      <c r="E148" s="304">
        <v>502</v>
      </c>
      <c r="F148" s="304">
        <v>63</v>
      </c>
    </row>
    <row r="149" spans="1:8">
      <c r="A149" s="250">
        <v>98</v>
      </c>
      <c r="C149" s="250" t="s">
        <v>304</v>
      </c>
      <c r="D149" s="250">
        <v>144</v>
      </c>
      <c r="E149" s="304">
        <v>2077</v>
      </c>
      <c r="F149" s="304">
        <v>139</v>
      </c>
    </row>
    <row r="150" spans="1:8">
      <c r="A150" s="250">
        <v>144</v>
      </c>
      <c r="C150" s="250" t="s">
        <v>304</v>
      </c>
      <c r="D150" s="250">
        <v>162</v>
      </c>
      <c r="E150" s="304">
        <v>8471</v>
      </c>
      <c r="F150" s="304">
        <v>229</v>
      </c>
    </row>
    <row r="151" spans="1:8">
      <c r="A151" s="250">
        <v>162</v>
      </c>
      <c r="C151" s="250" t="s">
        <v>304</v>
      </c>
      <c r="D151" s="256" t="s">
        <v>173</v>
      </c>
      <c r="E151" s="304">
        <v>12593</v>
      </c>
      <c r="F151" s="304">
        <v>458</v>
      </c>
      <c r="G151" s="308"/>
    </row>
    <row r="152" spans="1:8">
      <c r="D152" s="256"/>
      <c r="E152" s="304"/>
      <c r="F152" s="304"/>
      <c r="G152" s="308"/>
    </row>
    <row r="153" spans="1:8">
      <c r="D153" s="256"/>
      <c r="E153" s="304"/>
      <c r="F153" s="304"/>
      <c r="G153" s="308"/>
    </row>
    <row r="154" spans="1:8">
      <c r="D154" s="256"/>
      <c r="E154" s="304"/>
      <c r="F154" s="304"/>
      <c r="G154" s="308"/>
    </row>
    <row r="155" spans="1:8">
      <c r="D155" s="256"/>
      <c r="E155" s="304"/>
      <c r="F155" s="304"/>
      <c r="G155" s="308"/>
    </row>
    <row r="156" spans="1:8">
      <c r="D156" s="256"/>
      <c r="E156" s="304"/>
      <c r="F156" s="304"/>
      <c r="G156" s="308"/>
    </row>
    <row r="157" spans="1:8">
      <c r="D157" s="256"/>
      <c r="E157" s="304"/>
      <c r="F157" s="304"/>
      <c r="G157" s="308"/>
    </row>
    <row r="158" spans="1:8">
      <c r="D158" s="256"/>
      <c r="E158" s="304"/>
      <c r="F158" s="304"/>
      <c r="G158" s="308"/>
    </row>
    <row r="159" spans="1:8">
      <c r="D159" s="256"/>
      <c r="E159" s="304"/>
      <c r="F159" s="304"/>
      <c r="G159" s="308"/>
    </row>
    <row r="160" spans="1:8">
      <c r="D160" s="256"/>
      <c r="E160" s="304"/>
      <c r="F160" s="304"/>
      <c r="G160" s="308"/>
    </row>
    <row r="161" spans="1:7">
      <c r="D161" s="256"/>
      <c r="E161" s="304"/>
      <c r="F161" s="304"/>
      <c r="G161" s="308"/>
    </row>
    <row r="162" spans="1:7">
      <c r="D162" s="256"/>
      <c r="E162" s="304"/>
      <c r="F162" s="304"/>
      <c r="G162" s="308"/>
    </row>
    <row r="163" spans="1:7">
      <c r="D163" s="256"/>
      <c r="E163" s="304"/>
      <c r="F163" s="304"/>
      <c r="G163" s="308"/>
    </row>
    <row r="164" spans="1:7">
      <c r="D164" s="256"/>
      <c r="E164" s="304"/>
      <c r="F164" s="304"/>
      <c r="G164" s="308"/>
    </row>
    <row r="165" spans="1:7">
      <c r="F165" s="288"/>
    </row>
    <row r="166" spans="1:7">
      <c r="F166" s="288"/>
    </row>
    <row r="167" spans="1:7">
      <c r="F167" s="288"/>
    </row>
    <row r="168" spans="1:7">
      <c r="F168" s="288"/>
    </row>
    <row r="169" spans="1:7">
      <c r="A169" s="288" t="s">
        <v>305</v>
      </c>
      <c r="B169" s="288"/>
      <c r="F169" s="305"/>
    </row>
    <row r="170" spans="1:7">
      <c r="A170" s="250">
        <f>C208</f>
        <v>0</v>
      </c>
      <c r="C170" s="250" t="s">
        <v>304</v>
      </c>
      <c r="F170" s="305"/>
    </row>
    <row r="171" spans="1:7">
      <c r="A171" s="309">
        <v>63</v>
      </c>
      <c r="B171" s="309" t="s">
        <v>306</v>
      </c>
      <c r="C171" s="250" t="s">
        <v>304</v>
      </c>
      <c r="D171" s="304">
        <v>87.38</v>
      </c>
      <c r="E171" s="304" t="s">
        <v>307</v>
      </c>
      <c r="F171" s="305"/>
    </row>
    <row r="173" spans="1:7">
      <c r="A173" s="288" t="s">
        <v>308</v>
      </c>
      <c r="B173" s="288"/>
    </row>
    <row r="175" spans="1:7">
      <c r="A175" s="250" t="s">
        <v>309</v>
      </c>
    </row>
    <row r="176" spans="1:7">
      <c r="A176" s="250" t="s">
        <v>310</v>
      </c>
    </row>
    <row r="178" spans="1:9">
      <c r="C178" s="288" t="s">
        <v>311</v>
      </c>
      <c r="D178" s="288" t="s">
        <v>312</v>
      </c>
      <c r="E178" s="288" t="s">
        <v>313</v>
      </c>
    </row>
    <row r="179" spans="1:9">
      <c r="C179" s="288" t="s">
        <v>314</v>
      </c>
      <c r="D179" s="288"/>
      <c r="E179" s="288"/>
    </row>
    <row r="180" spans="1:9">
      <c r="A180" s="250" t="s">
        <v>315</v>
      </c>
      <c r="C180" s="310">
        <v>0.377</v>
      </c>
      <c r="D180" s="267">
        <v>1283</v>
      </c>
      <c r="E180" s="311">
        <v>0</v>
      </c>
    </row>
    <row r="181" spans="1:9">
      <c r="A181" s="250" t="s">
        <v>869</v>
      </c>
      <c r="C181" s="310"/>
      <c r="D181" s="311"/>
      <c r="E181" s="311"/>
    </row>
    <row r="182" spans="1:9">
      <c r="A182" s="250" t="s">
        <v>315</v>
      </c>
      <c r="C182" s="310">
        <v>0.377</v>
      </c>
      <c r="D182" s="311">
        <v>0</v>
      </c>
      <c r="E182" s="311">
        <v>273</v>
      </c>
    </row>
    <row r="183" spans="1:9">
      <c r="A183" s="250" t="s">
        <v>870</v>
      </c>
    </row>
    <row r="185" spans="1:9">
      <c r="A185" s="250" t="s">
        <v>316</v>
      </c>
      <c r="I185" s="288"/>
    </row>
    <row r="186" spans="1:9">
      <c r="A186" s="250" t="s">
        <v>871</v>
      </c>
    </row>
    <row r="188" spans="1:9">
      <c r="A188" s="288" t="s">
        <v>317</v>
      </c>
      <c r="C188" s="267">
        <v>0</v>
      </c>
    </row>
    <row r="190" spans="1:9">
      <c r="A190" s="288" t="s">
        <v>66</v>
      </c>
    </row>
    <row r="191" spans="1:9">
      <c r="A191" s="250" t="s">
        <v>119</v>
      </c>
      <c r="B191" s="295" t="s">
        <v>130</v>
      </c>
    </row>
    <row r="194" spans="1:2">
      <c r="A194" s="288" t="s">
        <v>318</v>
      </c>
    </row>
    <row r="202" spans="1:2">
      <c r="A202" s="250" t="s">
        <v>319</v>
      </c>
    </row>
    <row r="203" spans="1:2">
      <c r="A203" s="312"/>
    </row>
    <row r="204" spans="1:2">
      <c r="A204" s="250" t="s">
        <v>320</v>
      </c>
    </row>
    <row r="206" spans="1:2">
      <c r="A206" s="250" t="s">
        <v>321</v>
      </c>
      <c r="B206" s="297">
        <v>0</v>
      </c>
    </row>
    <row r="208" spans="1:2">
      <c r="A208" s="288" t="s">
        <v>66</v>
      </c>
    </row>
    <row r="209" spans="1:13">
      <c r="A209" s="250" t="s">
        <v>119</v>
      </c>
      <c r="C209" s="295" t="s">
        <v>134</v>
      </c>
    </row>
    <row r="211" spans="1:13">
      <c r="A211" s="288" t="s">
        <v>135</v>
      </c>
      <c r="I211" s="288"/>
    </row>
    <row r="213" spans="1:13">
      <c r="A213" s="288" t="s">
        <v>322</v>
      </c>
      <c r="B213" s="311"/>
      <c r="I213" s="288"/>
    </row>
    <row r="214" spans="1:13">
      <c r="B214" s="288" t="s">
        <v>323</v>
      </c>
      <c r="C214" s="288" t="s">
        <v>324</v>
      </c>
      <c r="D214" s="288" t="s">
        <v>325</v>
      </c>
      <c r="E214" s="288" t="s">
        <v>326</v>
      </c>
      <c r="F214" s="250" t="s">
        <v>327</v>
      </c>
      <c r="I214" s="288" t="s">
        <v>171</v>
      </c>
    </row>
    <row r="215" spans="1:13">
      <c r="A215" s="250" t="s">
        <v>328</v>
      </c>
      <c r="B215" s="313">
        <v>2.1999999999999999E-2</v>
      </c>
      <c r="C215" s="313">
        <v>3.1E-2</v>
      </c>
      <c r="D215" s="313">
        <v>3.9E-2</v>
      </c>
      <c r="E215" s="313">
        <v>4.1000000000000002E-2</v>
      </c>
      <c r="F215" s="250" t="s">
        <v>329</v>
      </c>
    </row>
    <row r="216" spans="1:13" ht="31.5">
      <c r="A216" s="250" t="s">
        <v>330</v>
      </c>
      <c r="B216" s="313">
        <v>1.6E-2</v>
      </c>
      <c r="C216" s="313">
        <v>1.7999999999999999E-2</v>
      </c>
      <c r="D216" s="313">
        <v>2.1999999999999999E-2</v>
      </c>
      <c r="E216" s="314" t="s">
        <v>331</v>
      </c>
      <c r="F216" s="250" t="s">
        <v>329</v>
      </c>
    </row>
    <row r="218" spans="1:13">
      <c r="B218" s="288" t="s">
        <v>332</v>
      </c>
      <c r="C218" s="288" t="s">
        <v>333</v>
      </c>
      <c r="D218" s="288" t="s">
        <v>334</v>
      </c>
      <c r="E218" s="288" t="s">
        <v>335</v>
      </c>
      <c r="F218" s="288" t="s">
        <v>336</v>
      </c>
      <c r="G218" s="250" t="s">
        <v>327</v>
      </c>
      <c r="I218" s="288" t="s">
        <v>171</v>
      </c>
    </row>
    <row r="219" spans="1:13">
      <c r="A219" s="250" t="s">
        <v>328</v>
      </c>
      <c r="B219" s="313">
        <v>0.05</v>
      </c>
      <c r="C219" s="313">
        <f>0.0066*6+0.0168</f>
        <v>5.6399999999999992E-2</v>
      </c>
      <c r="D219" s="313">
        <v>3.7999999999999999E-2</v>
      </c>
      <c r="E219" s="313">
        <v>0.04</v>
      </c>
      <c r="F219" s="313">
        <v>6.2E-2</v>
      </c>
      <c r="G219" s="250" t="s">
        <v>329</v>
      </c>
      <c r="I219" s="250">
        <v>20000</v>
      </c>
      <c r="J219" s="250" t="s">
        <v>337</v>
      </c>
    </row>
    <row r="220" spans="1:13" ht="31.5">
      <c r="A220" s="250" t="s">
        <v>330</v>
      </c>
      <c r="B220" s="313">
        <v>0.05</v>
      </c>
      <c r="C220" s="313">
        <v>0.05</v>
      </c>
      <c r="D220" s="314" t="s">
        <v>331</v>
      </c>
      <c r="E220" s="313">
        <v>2.9000000000000001E-2</v>
      </c>
      <c r="F220" s="313">
        <v>4.7E-2</v>
      </c>
      <c r="G220" s="250" t="s">
        <v>329</v>
      </c>
      <c r="I220" s="250" t="s">
        <v>338</v>
      </c>
    </row>
    <row r="221" spans="1:13">
      <c r="B221" s="313"/>
      <c r="C221" s="313"/>
      <c r="D221" s="314"/>
      <c r="E221" s="313"/>
      <c r="F221" s="313"/>
    </row>
    <row r="222" spans="1:13">
      <c r="B222" s="315" t="s">
        <v>339</v>
      </c>
      <c r="C222" s="315" t="s">
        <v>340</v>
      </c>
      <c r="D222" s="315" t="s">
        <v>341</v>
      </c>
      <c r="E222" s="250" t="s">
        <v>327</v>
      </c>
      <c r="I222" s="288" t="s">
        <v>171</v>
      </c>
      <c r="M222" s="288"/>
    </row>
    <row r="223" spans="1:13">
      <c r="A223" s="250" t="s">
        <v>328</v>
      </c>
      <c r="B223" s="316">
        <f>0.027+0.004</f>
        <v>3.1E-2</v>
      </c>
      <c r="C223" s="316">
        <f>2*B223</f>
        <v>6.2E-2</v>
      </c>
      <c r="D223" s="316">
        <f>3*B223</f>
        <v>9.2999999999999999E-2</v>
      </c>
      <c r="E223" s="250" t="s">
        <v>329</v>
      </c>
      <c r="I223" s="250" t="s">
        <v>342</v>
      </c>
    </row>
    <row r="224" spans="1:13">
      <c r="A224" s="250" t="s">
        <v>330</v>
      </c>
      <c r="B224" s="316">
        <f>0.015+0.007</f>
        <v>2.1999999999999999E-2</v>
      </c>
      <c r="C224" s="314">
        <f>2*B224</f>
        <v>4.3999999999999997E-2</v>
      </c>
      <c r="D224" s="316">
        <f>3*B224</f>
        <v>6.6000000000000003E-2</v>
      </c>
      <c r="E224" s="250" t="s">
        <v>329</v>
      </c>
      <c r="G224" s="316"/>
    </row>
    <row r="225" spans="1:9">
      <c r="B225" s="316"/>
      <c r="C225" s="314"/>
      <c r="D225" s="316"/>
      <c r="G225" s="316"/>
    </row>
    <row r="226" spans="1:9">
      <c r="A226" s="288" t="s">
        <v>343</v>
      </c>
      <c r="B226" s="316"/>
      <c r="C226" s="314"/>
      <c r="D226" s="316"/>
      <c r="G226" s="316"/>
    </row>
    <row r="227" spans="1:9">
      <c r="A227" s="250" t="s">
        <v>344</v>
      </c>
      <c r="B227" s="316"/>
      <c r="C227" s="314"/>
      <c r="D227" s="316"/>
      <c r="G227" s="316"/>
    </row>
    <row r="228" spans="1:9">
      <c r="B228" s="316"/>
      <c r="C228" s="314"/>
      <c r="D228" s="316"/>
      <c r="G228" s="316"/>
    </row>
    <row r="229" spans="1:9">
      <c r="A229" s="288" t="s">
        <v>345</v>
      </c>
      <c r="B229" s="316"/>
      <c r="C229" s="314"/>
      <c r="D229" s="316"/>
      <c r="G229" s="316"/>
    </row>
    <row r="230" spans="1:9">
      <c r="B230" s="316"/>
      <c r="C230" s="314"/>
      <c r="D230" s="316"/>
      <c r="G230" s="316"/>
    </row>
    <row r="231" spans="1:9">
      <c r="B231" s="288" t="s">
        <v>323</v>
      </c>
      <c r="C231" s="288" t="s">
        <v>324</v>
      </c>
      <c r="D231" s="288" t="s">
        <v>325</v>
      </c>
      <c r="E231" s="288" t="s">
        <v>326</v>
      </c>
      <c r="F231" s="288" t="s">
        <v>327</v>
      </c>
      <c r="G231" s="316"/>
      <c r="I231" s="288" t="s">
        <v>171</v>
      </c>
    </row>
    <row r="232" spans="1:9">
      <c r="A232" s="250" t="s">
        <v>328</v>
      </c>
      <c r="B232" s="313">
        <v>3.9E-2</v>
      </c>
      <c r="C232" s="313">
        <v>4.7E-2</v>
      </c>
      <c r="D232" s="313">
        <v>5.8000000000000003E-2</v>
      </c>
      <c r="E232" s="313">
        <v>6.8000000000000005E-2</v>
      </c>
      <c r="F232" s="250" t="s">
        <v>329</v>
      </c>
      <c r="G232" s="316"/>
      <c r="I232" s="250" t="s">
        <v>338</v>
      </c>
    </row>
    <row r="233" spans="1:9" ht="31.5">
      <c r="A233" s="250" t="s">
        <v>330</v>
      </c>
      <c r="B233" s="313">
        <v>2.7E-2</v>
      </c>
      <c r="C233" s="313">
        <v>3.1E-2</v>
      </c>
      <c r="D233" s="313">
        <v>3.3000000000000002E-2</v>
      </c>
      <c r="E233" s="314" t="s">
        <v>331</v>
      </c>
      <c r="F233" s="250" t="s">
        <v>329</v>
      </c>
      <c r="G233" s="316"/>
    </row>
    <row r="234" spans="1:9">
      <c r="B234" s="316"/>
      <c r="C234" s="314"/>
      <c r="D234" s="316"/>
      <c r="G234" s="316"/>
    </row>
    <row r="235" spans="1:9">
      <c r="B235" s="288" t="s">
        <v>332</v>
      </c>
      <c r="C235" s="288" t="s">
        <v>333</v>
      </c>
      <c r="D235" s="288" t="s">
        <v>334</v>
      </c>
      <c r="E235" s="288" t="s">
        <v>335</v>
      </c>
      <c r="F235" s="288" t="s">
        <v>336</v>
      </c>
      <c r="G235" s="288" t="s">
        <v>327</v>
      </c>
      <c r="I235" s="288"/>
    </row>
    <row r="236" spans="1:9">
      <c r="A236" s="250" t="s">
        <v>328</v>
      </c>
      <c r="B236" s="313">
        <v>7.4999999999999997E-2</v>
      </c>
      <c r="C236" s="313">
        <f>0.0098*6+0.0285</f>
        <v>8.7300000000000003E-2</v>
      </c>
      <c r="D236" s="313">
        <v>5.8999999999999997E-2</v>
      </c>
      <c r="E236" s="313">
        <v>0.06</v>
      </c>
      <c r="F236" s="313">
        <v>0.10100000000000001</v>
      </c>
      <c r="G236" s="250" t="s">
        <v>329</v>
      </c>
    </row>
    <row r="237" spans="1:9" ht="31.5">
      <c r="A237" s="250" t="s">
        <v>330</v>
      </c>
      <c r="B237" s="313">
        <v>7.8E-2</v>
      </c>
      <c r="C237" s="313">
        <v>7.8E-2</v>
      </c>
      <c r="D237" s="314" t="s">
        <v>331</v>
      </c>
      <c r="E237" s="313">
        <v>0.04</v>
      </c>
      <c r="F237" s="313">
        <v>7.2999999999999995E-2</v>
      </c>
      <c r="G237" s="250" t="s">
        <v>329</v>
      </c>
    </row>
    <row r="238" spans="1:9">
      <c r="B238" s="316"/>
      <c r="C238" s="314"/>
      <c r="D238" s="316"/>
      <c r="G238" s="316"/>
    </row>
    <row r="239" spans="1:9">
      <c r="A239" s="288" t="s">
        <v>343</v>
      </c>
      <c r="B239" s="301"/>
    </row>
    <row r="240" spans="1:9">
      <c r="A240" s="250" t="s">
        <v>346</v>
      </c>
    </row>
    <row r="241" spans="1:13">
      <c r="A241" s="250" t="s">
        <v>347</v>
      </c>
    </row>
    <row r="242" spans="1:13">
      <c r="A242" s="250" t="s">
        <v>348</v>
      </c>
      <c r="K242" s="317"/>
    </row>
    <row r="243" spans="1:13">
      <c r="A243" s="250" t="s">
        <v>349</v>
      </c>
      <c r="E243" s="297">
        <v>0.35</v>
      </c>
    </row>
    <row r="244" spans="1:13" ht="16.899999999999999" customHeight="1">
      <c r="A244" s="288"/>
      <c r="J244" s="318"/>
    </row>
    <row r="245" spans="1:13">
      <c r="A245" s="288" t="s">
        <v>146</v>
      </c>
      <c r="J245" s="301"/>
    </row>
    <row r="246" spans="1:13" ht="16.899999999999999" customHeight="1">
      <c r="A246" s="250" t="s">
        <v>350</v>
      </c>
      <c r="B246" s="295" t="s">
        <v>351</v>
      </c>
      <c r="J246" s="301"/>
    </row>
    <row r="247" spans="1:13">
      <c r="A247" s="250" t="s">
        <v>147</v>
      </c>
      <c r="B247" s="295" t="s">
        <v>148</v>
      </c>
      <c r="J247" s="301"/>
    </row>
    <row r="248" spans="1:13">
      <c r="A248" s="250" t="s">
        <v>352</v>
      </c>
      <c r="B248" s="295" t="s">
        <v>353</v>
      </c>
      <c r="J248" s="301"/>
      <c r="K248" s="301"/>
      <c r="L248" s="301"/>
      <c r="M248" s="301"/>
    </row>
    <row r="249" spans="1:13">
      <c r="B249" s="295"/>
    </row>
    <row r="250" spans="1:13">
      <c r="A250" s="288" t="s">
        <v>354</v>
      </c>
    </row>
    <row r="251" spans="1:13">
      <c r="A251" s="250" t="s">
        <v>150</v>
      </c>
    </row>
    <row r="253" spans="1:13">
      <c r="A253" s="288" t="s">
        <v>66</v>
      </c>
    </row>
    <row r="254" spans="1:13">
      <c r="A254" s="250" t="s">
        <v>151</v>
      </c>
    </row>
    <row r="256" spans="1:13">
      <c r="A256" s="288" t="s">
        <v>355</v>
      </c>
    </row>
    <row r="257" spans="1:4">
      <c r="D257" s="250" t="s">
        <v>872</v>
      </c>
    </row>
    <row r="258" spans="1:4">
      <c r="A258" s="250" t="s">
        <v>356</v>
      </c>
      <c r="C258" s="297">
        <v>0.36</v>
      </c>
    </row>
    <row r="259" spans="1:4">
      <c r="A259" s="250" t="s">
        <v>357</v>
      </c>
      <c r="C259" s="297">
        <v>0.25</v>
      </c>
    </row>
    <row r="260" spans="1:4">
      <c r="A260" s="250" t="s">
        <v>358</v>
      </c>
      <c r="B260" s="304">
        <v>50000</v>
      </c>
    </row>
    <row r="261" spans="1:4">
      <c r="A261" s="250" t="s">
        <v>359</v>
      </c>
      <c r="B261" s="304">
        <v>75000</v>
      </c>
    </row>
    <row r="264" spans="1:4">
      <c r="A264" s="288" t="s">
        <v>360</v>
      </c>
    </row>
    <row r="265" spans="1:4">
      <c r="A265" s="250" t="s">
        <v>361</v>
      </c>
      <c r="B265" s="304">
        <v>70000</v>
      </c>
    </row>
    <row r="266" spans="1:4">
      <c r="A266" s="250" t="s">
        <v>362</v>
      </c>
      <c r="B266" s="304">
        <f>B265*C258*C259</f>
        <v>6300</v>
      </c>
    </row>
    <row r="268" spans="1:4">
      <c r="A268" s="288" t="s">
        <v>66</v>
      </c>
    </row>
    <row r="269" spans="1:4">
      <c r="A269" s="250" t="s">
        <v>155</v>
      </c>
      <c r="B269" s="295" t="s">
        <v>156</v>
      </c>
    </row>
    <row r="271" spans="1:4">
      <c r="A271" s="288" t="s">
        <v>363</v>
      </c>
    </row>
    <row r="272" spans="1:4">
      <c r="A272" s="250">
        <v>0</v>
      </c>
      <c r="B272" s="297">
        <v>0.04</v>
      </c>
      <c r="D272" s="288"/>
    </row>
    <row r="273" spans="1:2">
      <c r="A273" s="309" t="s">
        <v>364</v>
      </c>
      <c r="B273" s="297">
        <v>0.22</v>
      </c>
    </row>
    <row r="275" spans="1:2">
      <c r="A275" s="288" t="s">
        <v>66</v>
      </c>
    </row>
    <row r="276" spans="1:2">
      <c r="A276" s="250" t="s">
        <v>365</v>
      </c>
      <c r="B276" s="295" t="s">
        <v>366</v>
      </c>
    </row>
    <row r="278" spans="1:2">
      <c r="A278" s="288" t="s">
        <v>367</v>
      </c>
    </row>
    <row r="279" spans="1:2">
      <c r="A279" s="250" t="s">
        <v>368</v>
      </c>
    </row>
  </sheetData>
  <sheetProtection algorithmName="SHA-512" hashValue="ZKJ4K2UFQFRfmYLlsTR2Vso3BD0mn9pLFLZbjjOYtzfhqSPWVAFax4rY4WfEdLxxKCcw1bfme07MviXbCk+zvQ==" saltValue="rBrWsqHltrN7Wf4JLXwaQA==" spinCount="100000" sheet="1" objects="1" scenarios="1"/>
  <mergeCells count="16">
    <mergeCell ref="C2:F2"/>
    <mergeCell ref="P2:T2"/>
    <mergeCell ref="C1:T1"/>
    <mergeCell ref="C18:T18"/>
    <mergeCell ref="I2:M2"/>
    <mergeCell ref="V35:X35"/>
    <mergeCell ref="C19:F19"/>
    <mergeCell ref="P19:T19"/>
    <mergeCell ref="E145:F145"/>
    <mergeCell ref="C35:T35"/>
    <mergeCell ref="C36:F36"/>
    <mergeCell ref="P36:T36"/>
    <mergeCell ref="I19:M19"/>
    <mergeCell ref="I36:M36"/>
    <mergeCell ref="A105:G105"/>
    <mergeCell ref="A106:G106"/>
  </mergeCells>
  <hyperlinks>
    <hyperlink ref="B191" r:id="rId1" xr:uid="{00000000-0004-0000-0600-000000000000}"/>
    <hyperlink ref="C129" r:id="rId2" xr:uid="{00000000-0004-0000-0600-000001000000}"/>
    <hyperlink ref="B96" r:id="rId3" xr:uid="{00000000-0004-0000-0600-000002000000}"/>
    <hyperlink ref="C209" r:id="rId4" xr:uid="{00000000-0004-0000-0600-000003000000}"/>
    <hyperlink ref="B276" r:id="rId5" xr:uid="{00000000-0004-0000-0600-000004000000}"/>
    <hyperlink ref="B269" r:id="rId6" display="https://www.rvo.nl/subsidies-regelingen/mia-en-vamil/milieulijst-miavamil/branches-en-themas/duurzaam-transport?utm_campaign=327193004&amp;utm_source=google&amp;utm_medium=cpc&amp;utm_content=262160046159&amp;utm_term=mia%20elektrische%20auto%202018&amp;adgroupid=22648406924&amp;gclid=EAIaIQobChMIha6Sq_vu3AIVBeJ3Ch2GvQj_EAAYASAAEgI-0_D_BwE" xr:uid="{00000000-0004-0000-0600-000005000000}"/>
    <hyperlink ref="B246" r:id="rId7" xr:uid="{00000000-0004-0000-0600-000006000000}"/>
    <hyperlink ref="B247" r:id="rId8" location="/merkentype" xr:uid="{00000000-0004-0000-0600-000007000000}"/>
    <hyperlink ref="B248" r:id="rId9" xr:uid="{00000000-0004-0000-0600-000008000000}"/>
    <hyperlink ref="B77" r:id="rId10" location="/kenteken" xr:uid="{00000000-0004-0000-0600-000009000000}"/>
    <hyperlink ref="B56" r:id="rId11" xr:uid="{00000000-0004-0000-0600-00000A000000}"/>
    <hyperlink ref="B97" r:id="rId12" xr:uid="{00000000-0004-0000-0600-00000B000000}"/>
  </hyperlinks>
  <pageMargins left="0.7" right="0.7" top="0.75" bottom="0.75" header="0.3" footer="0.3"/>
  <pageSetup paperSize="9" orientation="portrait" horizontalDpi="0" verticalDpi="0"/>
  <drawing r:id="rId13"/>
  <legacy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theme="9"/>
  </sheetPr>
  <dimension ref="A1:AS60"/>
  <sheetViews>
    <sheetView zoomScale="90" zoomScaleNormal="90" workbookViewId="0">
      <selection sqref="A1:XFD1048576"/>
    </sheetView>
  </sheetViews>
  <sheetFormatPr defaultColWidth="8.75" defaultRowHeight="15"/>
  <cols>
    <col min="1" max="1" width="4" style="319" customWidth="1"/>
    <col min="2" max="2" width="14" style="319" bestFit="1" customWidth="1"/>
    <col min="3" max="3" width="16.75" style="319" bestFit="1" customWidth="1"/>
    <col min="4" max="4" width="20.25" style="319" customWidth="1"/>
    <col min="5" max="5" width="15.25" style="319" customWidth="1"/>
    <col min="6" max="6" width="13.25" style="319" bestFit="1" customWidth="1"/>
    <col min="7" max="7" width="14.75" style="319" bestFit="1" customWidth="1"/>
    <col min="8" max="8" width="2.25" style="319" customWidth="1"/>
    <col min="9" max="9" width="11.25" style="319" bestFit="1" customWidth="1"/>
    <col min="10" max="10" width="13.25" style="319" bestFit="1" customWidth="1"/>
    <col min="11" max="12" width="14.75" style="319" bestFit="1" customWidth="1"/>
    <col min="13" max="13" width="3.25" style="319" customWidth="1"/>
    <col min="14" max="14" width="16.75" style="319" customWidth="1"/>
    <col min="15" max="15" width="11" style="319" bestFit="1" customWidth="1"/>
    <col min="16" max="16" width="9.75" style="319" customWidth="1"/>
    <col min="17" max="17" width="11.25" style="319" customWidth="1"/>
    <col min="18" max="18" width="3.25" style="319" customWidth="1"/>
    <col min="19" max="19" width="16" style="319" customWidth="1"/>
    <col min="20" max="20" width="11" style="319" bestFit="1" customWidth="1"/>
    <col min="21" max="21" width="11" style="319" customWidth="1"/>
    <col min="22" max="22" width="13.25" style="319" customWidth="1"/>
    <col min="23" max="23" width="11" style="319" customWidth="1"/>
    <col min="24" max="24" width="3" style="319" customWidth="1"/>
    <col min="25" max="25" width="10.5" style="319" customWidth="1"/>
    <col min="26" max="26" width="10.25" style="319" bestFit="1" customWidth="1"/>
    <col min="27" max="27" width="16.75" style="319" customWidth="1"/>
    <col min="28" max="28" width="15.75" style="319" customWidth="1"/>
    <col min="29" max="30" width="11.25" style="319" customWidth="1"/>
    <col min="31" max="31" width="11.5" style="319" customWidth="1"/>
    <col min="32" max="32" width="2.75" style="319" customWidth="1"/>
    <col min="33" max="33" width="10.5" style="319" customWidth="1"/>
    <col min="34" max="34" width="9.25" style="319" customWidth="1"/>
    <col min="35" max="35" width="16.75" style="319" customWidth="1"/>
    <col min="36" max="36" width="11.25" style="319" customWidth="1"/>
    <col min="37" max="37" width="10.5" style="319" customWidth="1"/>
    <col min="38" max="38" width="16.25" style="319" customWidth="1"/>
    <col min="39" max="39" width="12.75" style="319" customWidth="1"/>
    <col min="40" max="40" width="3.25" style="319" customWidth="1"/>
    <col min="41" max="41" width="25.25" style="319" bestFit="1" customWidth="1"/>
    <col min="42" max="42" width="26.25" style="319" bestFit="1" customWidth="1"/>
    <col min="43" max="43" width="3.75" style="319" customWidth="1"/>
    <col min="44" max="44" width="25.25" style="319" bestFit="1" customWidth="1"/>
    <col min="45" max="45" width="26.25" style="319" bestFit="1" customWidth="1"/>
    <col min="46" max="16384" width="8.75" style="319"/>
  </cols>
  <sheetData>
    <row r="1" spans="1:45" ht="15.75">
      <c r="E1" s="535" t="s">
        <v>369</v>
      </c>
      <c r="F1" s="536"/>
      <c r="G1" s="536"/>
      <c r="I1" s="535" t="s">
        <v>370</v>
      </c>
      <c r="J1" s="536"/>
      <c r="K1" s="536"/>
      <c r="L1" s="536"/>
      <c r="N1" s="537" t="s">
        <v>371</v>
      </c>
      <c r="O1" s="520"/>
      <c r="P1" s="532"/>
      <c r="Q1" s="532"/>
      <c r="S1" s="537" t="s">
        <v>372</v>
      </c>
      <c r="T1" s="520"/>
      <c r="U1" s="532"/>
      <c r="V1" s="532"/>
      <c r="W1" s="532"/>
      <c r="Y1" s="533" t="s">
        <v>373</v>
      </c>
      <c r="Z1" s="534"/>
      <c r="AA1" s="532"/>
      <c r="AB1" s="532"/>
      <c r="AC1" s="532"/>
      <c r="AD1" s="532"/>
      <c r="AE1" s="532"/>
      <c r="AG1" s="533" t="s">
        <v>374</v>
      </c>
      <c r="AH1" s="534"/>
      <c r="AI1" s="532"/>
      <c r="AJ1" s="532"/>
      <c r="AK1" s="532"/>
      <c r="AL1" s="532"/>
      <c r="AM1" s="532"/>
      <c r="AO1" s="531" t="s">
        <v>375</v>
      </c>
      <c r="AP1" s="532"/>
      <c r="AR1" s="531" t="s">
        <v>804</v>
      </c>
      <c r="AS1" s="532"/>
    </row>
    <row r="2" spans="1:45" s="320" customFormat="1" ht="45">
      <c r="B2" s="320" t="s">
        <v>0</v>
      </c>
      <c r="C2" s="320" t="s">
        <v>376</v>
      </c>
      <c r="D2" s="321" t="s">
        <v>377</v>
      </c>
      <c r="E2" s="320" t="s">
        <v>378</v>
      </c>
      <c r="F2" s="320" t="s">
        <v>379</v>
      </c>
      <c r="G2" s="320" t="s">
        <v>380</v>
      </c>
      <c r="I2" s="320" t="s">
        <v>378</v>
      </c>
      <c r="J2" s="320" t="s">
        <v>379</v>
      </c>
      <c r="K2" s="320" t="s">
        <v>380</v>
      </c>
      <c r="L2" s="320" t="s">
        <v>381</v>
      </c>
      <c r="N2" s="321" t="s">
        <v>382</v>
      </c>
      <c r="O2" s="320" t="s">
        <v>383</v>
      </c>
      <c r="P2" s="320" t="s">
        <v>831</v>
      </c>
      <c r="Q2" s="321" t="s">
        <v>384</v>
      </c>
      <c r="S2" s="321" t="s">
        <v>382</v>
      </c>
      <c r="T2" s="320" t="s">
        <v>383</v>
      </c>
      <c r="U2" s="320" t="s">
        <v>832</v>
      </c>
      <c r="V2" s="321" t="s">
        <v>384</v>
      </c>
      <c r="W2" s="320" t="s">
        <v>385</v>
      </c>
      <c r="Y2" s="321" t="s">
        <v>386</v>
      </c>
      <c r="Z2" s="321" t="s">
        <v>873</v>
      </c>
      <c r="AA2" s="321" t="s">
        <v>387</v>
      </c>
      <c r="AB2" s="321" t="s">
        <v>388</v>
      </c>
      <c r="AC2" s="321" t="s">
        <v>389</v>
      </c>
      <c r="AD2" s="321" t="s">
        <v>390</v>
      </c>
      <c r="AE2" s="321" t="s">
        <v>391</v>
      </c>
      <c r="AG2" s="321" t="s">
        <v>386</v>
      </c>
      <c r="AH2" s="321" t="s">
        <v>873</v>
      </c>
      <c r="AI2" s="321" t="s">
        <v>387</v>
      </c>
      <c r="AJ2" s="321" t="s">
        <v>389</v>
      </c>
      <c r="AK2" s="321" t="s">
        <v>390</v>
      </c>
      <c r="AL2" s="321" t="s">
        <v>388</v>
      </c>
      <c r="AM2" s="321" t="s">
        <v>391</v>
      </c>
      <c r="AO2" s="320" t="s">
        <v>392</v>
      </c>
      <c r="AP2" s="320" t="s">
        <v>393</v>
      </c>
      <c r="AR2" s="320" t="s">
        <v>392</v>
      </c>
      <c r="AS2" s="320" t="s">
        <v>393</v>
      </c>
    </row>
    <row r="3" spans="1:45">
      <c r="A3" s="319" t="s">
        <v>394</v>
      </c>
      <c r="B3" s="319" t="s">
        <v>11</v>
      </c>
      <c r="C3" s="319">
        <v>10000</v>
      </c>
      <c r="D3" s="319">
        <v>10000</v>
      </c>
      <c r="E3" s="322">
        <f>SUM(F3:G3)</f>
        <v>0</v>
      </c>
      <c r="F3" s="322" t="str">
        <f t="array" ref="F3:F6">TRANSPOSE('1. Invoer wagenpark'!H4:K4)</f>
        <v>n.v.t.</v>
      </c>
      <c r="G3" s="322">
        <f t="array" ref="G3:G6">TRANSPOSE('1. Invoer wagenpark'!D4:G4)</f>
        <v>0</v>
      </c>
      <c r="H3" s="322"/>
      <c r="I3" s="322">
        <f>SUM(J3:L3)</f>
        <v>0</v>
      </c>
      <c r="J3" s="322" t="s">
        <v>235</v>
      </c>
      <c r="K3" s="322">
        <v>0</v>
      </c>
      <c r="L3" s="322">
        <f>E3</f>
        <v>0</v>
      </c>
      <c r="N3" s="323">
        <f>(Netto_cat_benz_A*G3)</f>
        <v>0</v>
      </c>
      <c r="O3" s="323">
        <f>(BPM_benz_A*G3)</f>
        <v>0</v>
      </c>
      <c r="P3" s="324">
        <f>BTW*N3</f>
        <v>0</v>
      </c>
      <c r="Q3" s="324">
        <f>SUM(N3:P3)</f>
        <v>0</v>
      </c>
      <c r="S3" s="323">
        <f>(Netto_cat_benz_A*K3)+(Netto_cat_BEV_A*L3)</f>
        <v>0</v>
      </c>
      <c r="T3" s="323">
        <f>(BPM_benz_A*K3)+(L3*BPM_BEV)</f>
        <v>0</v>
      </c>
      <c r="U3" s="323">
        <f>BTW*S3</f>
        <v>0</v>
      </c>
      <c r="V3" s="323">
        <f>SUM(S3:U3)</f>
        <v>0</v>
      </c>
      <c r="W3" s="323">
        <f>IF('2. Invoer parameters'!$C$10="ja",MIA_BEV_A*L3,0)</f>
        <v>0</v>
      </c>
      <c r="Y3" s="323">
        <f>(G3*verz_benz_A)</f>
        <v>0</v>
      </c>
      <c r="Z3" s="323">
        <f>(MRB_benz_A*G3)</f>
        <v>0</v>
      </c>
      <c r="AA3" s="323">
        <f>($D3*G3*(verbr_benz_A/100)*prijs_benz)</f>
        <v>0</v>
      </c>
      <c r="AB3" s="323">
        <f>($D3*G3*Onderh_benz_A)</f>
        <v>0</v>
      </c>
      <c r="AC3" s="323">
        <f t="shared" ref="AC3:AC11" si="0">Rest_perc*SUM(N3:O3)</f>
        <v>0</v>
      </c>
      <c r="AD3" s="325">
        <f t="shared" ref="AD3:AD11" si="1">Rest_perc*SUM(N3:P3)</f>
        <v>0</v>
      </c>
      <c r="AE3" s="323">
        <f>IF(BTW_verrekening="Ja",((N3+O3)-AC3)/(looptijd*12),((N3+O3+P3)-AD3)/(looptijd*12))</f>
        <v>0</v>
      </c>
      <c r="AG3" s="323">
        <f>(K3*verz_benz_A)+(L3*verz_BEV_A)</f>
        <v>0</v>
      </c>
      <c r="AH3" s="323">
        <f>(MRB_benz_A*K3)+(MRB_BEV*L3)</f>
        <v>0</v>
      </c>
      <c r="AI3" s="323">
        <f>($D3*K3*(verbr_benz_A/100)*prijs_benz)+($D3*L3*(verbr_BEV_A/100)*(prijs_elek_berekening))</f>
        <v>0</v>
      </c>
      <c r="AJ3" s="323">
        <f>Rest_perc*SUM(S3:T3)</f>
        <v>0</v>
      </c>
      <c r="AK3" s="323">
        <f t="shared" ref="AK3:AK11" si="2">Rest_perc*SUM(S3:U3)</f>
        <v>0</v>
      </c>
      <c r="AL3" s="323">
        <f>($D3*K3*Onderh_benz_A)+($D3*L3*Onderh_BEV_A)</f>
        <v>0</v>
      </c>
      <c r="AM3" s="323">
        <f>IF(BTW_verrekening="Ja",((S3+T3-W3)-AJ3)/(looptijd*12),((S3+T3+U3)-AK3)/(looptijd*12))</f>
        <v>0</v>
      </c>
      <c r="AO3" s="326">
        <f>(Efac_benz_TTW*(verbr_benz_A/100)*$D3*G3)</f>
        <v>0</v>
      </c>
      <c r="AP3" s="326">
        <f>(Efac_benz_WTW*(verbr_benz_A/100)*$D3*G3)</f>
        <v>0</v>
      </c>
      <c r="AR3" s="326">
        <f>(Efac_die_TTW*(verbr_die_A/100)*$D3*K3)+(Efac_elek_berekening_TTW*(verbr_BEV_A/100)*$D3*L3)</f>
        <v>0</v>
      </c>
      <c r="AS3" s="326">
        <f>(Efac_die_WTW*(verbr_die_A/100)*$D3*K3)+(Efac_elek_berekening_WTW*(verbr_BEV_A/100)*$D3*L3)</f>
        <v>0</v>
      </c>
    </row>
    <row r="4" spans="1:45">
      <c r="A4" s="319" t="s">
        <v>395</v>
      </c>
      <c r="B4" s="319" t="s">
        <v>11</v>
      </c>
      <c r="C4" s="319">
        <v>20000</v>
      </c>
      <c r="D4" s="319">
        <v>20000</v>
      </c>
      <c r="E4" s="322">
        <f t="shared" ref="E4:E56" si="3">SUM(F4:G4)</f>
        <v>0</v>
      </c>
      <c r="F4" s="322" t="str">
        <v>n.v.t.</v>
      </c>
      <c r="G4" s="322">
        <v>0</v>
      </c>
      <c r="H4" s="322"/>
      <c r="I4" s="322">
        <f t="shared" ref="I4:I46" si="4">SUM(J4:L4)</f>
        <v>0</v>
      </c>
      <c r="J4" s="322" t="s">
        <v>235</v>
      </c>
      <c r="K4" s="322">
        <v>0</v>
      </c>
      <c r="L4" s="322">
        <f>E4</f>
        <v>0</v>
      </c>
      <c r="N4" s="323">
        <f>(Netto_cat_benz_A*G4)</f>
        <v>0</v>
      </c>
      <c r="O4" s="323">
        <f>(BPM_benz_A*G4)</f>
        <v>0</v>
      </c>
      <c r="P4" s="324">
        <f>BTW*N4</f>
        <v>0</v>
      </c>
      <c r="Q4" s="324">
        <f t="shared" ref="Q4:Q56" si="5">SUM(N4:P4)</f>
        <v>0</v>
      </c>
      <c r="S4" s="323">
        <f>(Netto_cat_benz_A*K4)+(Netto_cat_BEV_A*L4)</f>
        <v>0</v>
      </c>
      <c r="T4" s="323">
        <f>(BPM_benz_A*K4)+(L4*BPM_BEV)</f>
        <v>0</v>
      </c>
      <c r="U4" s="323">
        <f>BTW*S4</f>
        <v>0</v>
      </c>
      <c r="V4" s="323">
        <f t="shared" ref="V4:V56" si="6">SUM(S4:U4)</f>
        <v>0</v>
      </c>
      <c r="W4" s="323">
        <f>IF('2. Invoer parameters'!$C$10="ja",MIA_BEV_A*L4,0)</f>
        <v>0</v>
      </c>
      <c r="Y4" s="323">
        <f>(G4*verz_benz_A)</f>
        <v>0</v>
      </c>
      <c r="Z4" s="323">
        <f>(MRB_benz_A*G4)</f>
        <v>0</v>
      </c>
      <c r="AA4" s="323">
        <f>($D4*G4*(verbr_benz_A/100)*prijs_benz)</f>
        <v>0</v>
      </c>
      <c r="AB4" s="323">
        <f>($D4*G4*Onderh_benz_A)</f>
        <v>0</v>
      </c>
      <c r="AC4" s="323">
        <f t="shared" si="0"/>
        <v>0</v>
      </c>
      <c r="AD4" s="325">
        <f t="shared" si="1"/>
        <v>0</v>
      </c>
      <c r="AE4" s="323">
        <f>IF(BTW_verrekening="Ja",((N4+O4)-AC4)/(looptijd*12),((N4+O4+P4)-AD4)/(looptijd*12))</f>
        <v>0</v>
      </c>
      <c r="AG4" s="323">
        <f>(K4*verz_benz_A)+(L4*verz_BEV_A)</f>
        <v>0</v>
      </c>
      <c r="AH4" s="323">
        <f>(MRB_benz_A*K4)+(MRB_BEV*L4)</f>
        <v>0</v>
      </c>
      <c r="AI4" s="323">
        <f>($D4*K4*(verbr_benz_A/100)*prijs_benz)+($D4*L4*(verbr_BEV_A/100)*(prijs_elek_berekening))</f>
        <v>0</v>
      </c>
      <c r="AJ4" s="323">
        <f>Rest_perc*SUM(S4:T4)</f>
        <v>0</v>
      </c>
      <c r="AK4" s="323">
        <f t="shared" si="2"/>
        <v>0</v>
      </c>
      <c r="AL4" s="323">
        <f>($D4*K4*Onderh_benz_A)+($D4*L4*Onderh_BEV_A)</f>
        <v>0</v>
      </c>
      <c r="AM4" s="323">
        <f>IF(BTW_verrekening="Ja",((S4+T4-W4)-AJ4)/(looptijd*12),((S4+T4+U4)-AK4)/(looptijd*12))</f>
        <v>0</v>
      </c>
      <c r="AO4" s="326">
        <f>(Efac_benz_TTW*(verbr_benz_A/100)*$D4*G4)</f>
        <v>0</v>
      </c>
      <c r="AP4" s="326">
        <f>(Efac_benz_WTW*(verbr_benz_A/100)*$D4*G4)</f>
        <v>0</v>
      </c>
      <c r="AR4" s="326">
        <f>(Efac_die_TTW*(verbr_die_A/100)*$D4*K4)+(Efac_elek_berekening_TTW*(verbr_BEV_A/100)*$D4*L4)</f>
        <v>0</v>
      </c>
      <c r="AS4" s="326">
        <f>(Efac_die_WTW*(verbr_die_A/100)*$D4*K4)+(Efac_elek_berekening_WTW*(verbr_BEV_A/100)*$D4*L4)</f>
        <v>0</v>
      </c>
    </row>
    <row r="5" spans="1:45">
      <c r="A5" s="327">
        <v>3</v>
      </c>
      <c r="B5" s="319" t="s">
        <v>11</v>
      </c>
      <c r="C5" s="319">
        <v>30000</v>
      </c>
      <c r="D5" s="319">
        <v>30000</v>
      </c>
      <c r="E5" s="322">
        <f t="shared" si="3"/>
        <v>0</v>
      </c>
      <c r="F5" s="322" t="str">
        <v>n.v.t.</v>
      </c>
      <c r="G5" s="322">
        <v>0</v>
      </c>
      <c r="H5" s="322"/>
      <c r="I5" s="322">
        <f t="shared" si="4"/>
        <v>0</v>
      </c>
      <c r="J5" s="322" t="s">
        <v>235</v>
      </c>
      <c r="K5" s="322">
        <v>0</v>
      </c>
      <c r="L5" s="322">
        <f>E5</f>
        <v>0</v>
      </c>
      <c r="N5" s="323">
        <f>(Netto_cat_benz_A*G5)</f>
        <v>0</v>
      </c>
      <c r="O5" s="323">
        <f>(BPM_benz_A*G5)</f>
        <v>0</v>
      </c>
      <c r="P5" s="324">
        <f>BTW*N5</f>
        <v>0</v>
      </c>
      <c r="Q5" s="324">
        <f t="shared" si="5"/>
        <v>0</v>
      </c>
      <c r="S5" s="323">
        <f>(Netto_cat_benz_A*K5)+(Netto_cat_BEV_A*L5)</f>
        <v>0</v>
      </c>
      <c r="T5" s="323">
        <f>(BPM_benz_A*K5)+(L5*BPM_BEV)</f>
        <v>0</v>
      </c>
      <c r="U5" s="323">
        <f>BTW*S5</f>
        <v>0</v>
      </c>
      <c r="V5" s="323">
        <f t="shared" si="6"/>
        <v>0</v>
      </c>
      <c r="W5" s="323">
        <f>IF('2. Invoer parameters'!$C$10="ja",MIA_BEV_A*L5,0)</f>
        <v>0</v>
      </c>
      <c r="Y5" s="323">
        <f>(G5*verz_benz_A)</f>
        <v>0</v>
      </c>
      <c r="Z5" s="323">
        <f>(MRB_benz_A*G5)</f>
        <v>0</v>
      </c>
      <c r="AA5" s="323">
        <f>($D5*G5*(verbr_benz_A/100)*prijs_benz)</f>
        <v>0</v>
      </c>
      <c r="AB5" s="323">
        <f>($D5*G5*Onderh_benz_A)</f>
        <v>0</v>
      </c>
      <c r="AC5" s="323">
        <f t="shared" si="0"/>
        <v>0</v>
      </c>
      <c r="AD5" s="325">
        <f t="shared" si="1"/>
        <v>0</v>
      </c>
      <c r="AE5" s="323">
        <f>IF(BTW_verrekening="Ja",((N5+O5)-AC5)/(looptijd*12),((N5+O5+P5)-AD5)/(looptijd*12))</f>
        <v>0</v>
      </c>
      <c r="AG5" s="323">
        <f>(K5*verz_benz_A)+(L5*verz_BEV_A)</f>
        <v>0</v>
      </c>
      <c r="AH5" s="323">
        <f>(MRB_benz_A*K5)+(MRB_BEV*L5)</f>
        <v>0</v>
      </c>
      <c r="AI5" s="323">
        <f>($D5*K5*(verbr_benz_A/100)*prijs_benz)+($D5*L5*(verbr_BEV_A/100)*(prijs_elek_berekening))</f>
        <v>0</v>
      </c>
      <c r="AJ5" s="323">
        <f>Rest_perc*SUM(S5:T5)</f>
        <v>0</v>
      </c>
      <c r="AK5" s="323">
        <f t="shared" si="2"/>
        <v>0</v>
      </c>
      <c r="AL5" s="323">
        <f>($D5*K5*Onderh_benz_A)+($D5*L5*Onderh_BEV_A)</f>
        <v>0</v>
      </c>
      <c r="AM5" s="323">
        <f>IF(BTW_verrekening="Ja",((S5+T5-W5)-AJ5)/(looptijd*12),((S5+T5+U5)-AK5)/(looptijd*12))</f>
        <v>0</v>
      </c>
      <c r="AO5" s="326">
        <f>(Efac_benz_TTW*(verbr_benz_A/100)*$D5*G5)</f>
        <v>0</v>
      </c>
      <c r="AP5" s="326">
        <f>(Efac_benz_WTW*(verbr_benz_A/100)*$D5*G5)</f>
        <v>0</v>
      </c>
      <c r="AR5" s="326">
        <f>(Efac_die_TTW*(verbr_die_A/100)*$D5*K5)+(Efac_elek_berekening_TTW*(verbr_BEV_A/100)*$D5*L5)</f>
        <v>0</v>
      </c>
      <c r="AS5" s="326">
        <f>(Efac_die_WTW*(verbr_die_A/100)*$D5*K5)+(Efac_elek_berekening_WTW*(verbr_BEV_A/100)*$D5*L5)</f>
        <v>0</v>
      </c>
    </row>
    <row r="6" spans="1:45">
      <c r="A6" s="327">
        <v>4</v>
      </c>
      <c r="B6" s="319" t="s">
        <v>11</v>
      </c>
      <c r="C6" s="322" t="s">
        <v>396</v>
      </c>
      <c r="D6" s="322">
        <v>40000</v>
      </c>
      <c r="E6" s="322">
        <f t="shared" si="3"/>
        <v>0</v>
      </c>
      <c r="F6" s="322" t="str">
        <v>n.v.t.</v>
      </c>
      <c r="G6" s="322">
        <v>0</v>
      </c>
      <c r="H6" s="322"/>
      <c r="I6" s="322">
        <f>SUM(J6:L6)</f>
        <v>0</v>
      </c>
      <c r="J6" s="322" t="s">
        <v>235</v>
      </c>
      <c r="K6" s="322">
        <v>0</v>
      </c>
      <c r="L6" s="322">
        <f>E6</f>
        <v>0</v>
      </c>
      <c r="N6" s="323">
        <f>(Netto_cat_benz_A*G6)</f>
        <v>0</v>
      </c>
      <c r="O6" s="323">
        <f>(BPM_benz_A*G6)</f>
        <v>0</v>
      </c>
      <c r="P6" s="324">
        <f>BTW*N6</f>
        <v>0</v>
      </c>
      <c r="Q6" s="324">
        <f t="shared" si="5"/>
        <v>0</v>
      </c>
      <c r="S6" s="323">
        <f>(Netto_cat_benz_A*K6)+(Netto_cat_BEV_A*L6)</f>
        <v>0</v>
      </c>
      <c r="T6" s="323">
        <f>(BPM_benz_A*K6)+(L6*BPM_BEV)</f>
        <v>0</v>
      </c>
      <c r="U6" s="323">
        <f>BTW*S6</f>
        <v>0</v>
      </c>
      <c r="V6" s="323">
        <f t="shared" si="6"/>
        <v>0</v>
      </c>
      <c r="W6" s="323">
        <f>IF('2. Invoer parameters'!$C$10="ja",MIA_BEV_A*L6,0)</f>
        <v>0</v>
      </c>
      <c r="Y6" s="323">
        <f>(G6*verz_benz_A)</f>
        <v>0</v>
      </c>
      <c r="Z6" s="323">
        <f>(MRB_benz_A*G6)</f>
        <v>0</v>
      </c>
      <c r="AA6" s="323">
        <f>($D6*G6*(verbr_benz_A/100)*prijs_benz)</f>
        <v>0</v>
      </c>
      <c r="AB6" s="323">
        <f>($D6*G6*Onderh_benz_A)</f>
        <v>0</v>
      </c>
      <c r="AC6" s="323">
        <f t="shared" si="0"/>
        <v>0</v>
      </c>
      <c r="AD6" s="325">
        <f t="shared" si="1"/>
        <v>0</v>
      </c>
      <c r="AE6" s="323">
        <f>IF(BTW_verrekening="Ja",((N6+O6)-AC6)/(looptijd*12),((N6+O6+P6)-AD6)/(looptijd*12))</f>
        <v>0</v>
      </c>
      <c r="AG6" s="323">
        <f>(K6*verz_benz_A)+(L6*verz_BEV_A)</f>
        <v>0</v>
      </c>
      <c r="AH6" s="323">
        <f>(MRB_benz_A*K6)+(MRB_BEV*L6)</f>
        <v>0</v>
      </c>
      <c r="AI6" s="323">
        <f>($D6*K6*(verbr_benz_A/100)*prijs_benz)+($D6*L6*(verbr_BEV_A/100)*(prijs_elek_berekening))</f>
        <v>0</v>
      </c>
      <c r="AJ6" s="323">
        <f>Rest_perc*SUM(S6:T6)</f>
        <v>0</v>
      </c>
      <c r="AK6" s="323">
        <f t="shared" si="2"/>
        <v>0</v>
      </c>
      <c r="AL6" s="323">
        <f>($D6*K6*Onderh_benz_A)+($D6*L6*Onderh_BEV_A)</f>
        <v>0</v>
      </c>
      <c r="AM6" s="323">
        <f>IF(BTW_verrekening="Ja",((S6+T6-W6)-AJ6)/(looptijd*12),((S6+T6+U6)-AK6)/(looptijd*12))</f>
        <v>0</v>
      </c>
      <c r="AO6" s="326">
        <f>(Efac_benz_TTW*(verbr_benz_A/100)*$D6*G6)</f>
        <v>0</v>
      </c>
      <c r="AP6" s="326">
        <f>(Efac_benz_WTW*(verbr_benz_A/100)*$D6*G6)</f>
        <v>0</v>
      </c>
      <c r="AR6" s="326">
        <f>(Efac_die_TTW*(verbr_die_A/100)*$D6*K6)+(Efac_elek_berekening_TTW*(verbr_BEV_A/100)*$D6*L6)</f>
        <v>0</v>
      </c>
      <c r="AS6" s="326">
        <f>(Efac_die_WTW*(verbr_die_A/100)*$D6*K6)+(Efac_elek_berekening_WTW*(verbr_BEV_A/100)*$D6*L6)</f>
        <v>0</v>
      </c>
    </row>
    <row r="7" spans="1:45">
      <c r="A7" s="327"/>
      <c r="C7" s="322"/>
      <c r="D7" s="322"/>
      <c r="E7" s="322"/>
      <c r="F7" s="322"/>
      <c r="G7" s="322"/>
      <c r="H7" s="322"/>
      <c r="I7" s="322"/>
      <c r="J7" s="322"/>
      <c r="K7" s="322"/>
      <c r="L7" s="322"/>
      <c r="P7" s="324"/>
      <c r="Q7" s="324"/>
      <c r="U7" s="323"/>
      <c r="V7" s="323"/>
      <c r="W7" s="323"/>
      <c r="AC7" s="323">
        <f t="shared" si="0"/>
        <v>0</v>
      </c>
      <c r="AD7" s="325">
        <f t="shared" si="1"/>
        <v>0</v>
      </c>
      <c r="AE7" s="323"/>
      <c r="AG7" s="323"/>
      <c r="AJ7" s="323"/>
      <c r="AK7" s="323">
        <f t="shared" si="2"/>
        <v>0</v>
      </c>
      <c r="AM7" s="323"/>
      <c r="AP7" s="326"/>
    </row>
    <row r="8" spans="1:45">
      <c r="A8" s="327">
        <v>5</v>
      </c>
      <c r="B8" s="319" t="s">
        <v>16</v>
      </c>
      <c r="C8" s="319">
        <v>10000</v>
      </c>
      <c r="D8" s="319">
        <f>$D$3</f>
        <v>10000</v>
      </c>
      <c r="E8" s="322">
        <f t="shared" si="3"/>
        <v>0</v>
      </c>
      <c r="F8" s="322">
        <f t="array" ref="F8:F11">TRANSPOSE('1. Invoer wagenpark'!H5:K5)</f>
        <v>0</v>
      </c>
      <c r="G8" s="322">
        <f t="array" ref="G8:G11">TRANSPOSE('1. Invoer wagenpark'!D5:G5)</f>
        <v>0</v>
      </c>
      <c r="H8" s="322"/>
      <c r="I8" s="322">
        <f>SUM(J8:L8)</f>
        <v>0</v>
      </c>
      <c r="J8" s="322">
        <v>0</v>
      </c>
      <c r="K8" s="322">
        <v>0</v>
      </c>
      <c r="L8" s="322">
        <f>E8</f>
        <v>0</v>
      </c>
      <c r="N8" s="323">
        <f>(Netto_cat_die_B*F8)+(Netto_cat_benz_B*G8)</f>
        <v>0</v>
      </c>
      <c r="O8" s="323">
        <f>(BPM_die_B*F8)+(BPM_benz_B*G8)</f>
        <v>0</v>
      </c>
      <c r="P8" s="324">
        <f>BTW*N8</f>
        <v>0</v>
      </c>
      <c r="Q8" s="324">
        <f t="shared" si="5"/>
        <v>0</v>
      </c>
      <c r="S8" s="323">
        <f>(Netto_cat_die_B*J8)+(Netto_cat_benz_B*K8)+(Netto_cat_BEV_B*L8)</f>
        <v>0</v>
      </c>
      <c r="T8" s="323">
        <f>(BPM_die_B*J8)+(BPM_benz_B*K8)+(BPM_BEV*L8)</f>
        <v>0</v>
      </c>
      <c r="U8" s="323">
        <f>BTW*S8</f>
        <v>0</v>
      </c>
      <c r="V8" s="323">
        <f t="shared" si="6"/>
        <v>0</v>
      </c>
      <c r="W8" s="323">
        <f>IF('2. Invoer parameters'!$C$10="ja",MIA_BEV_A*L8,0)</f>
        <v>0</v>
      </c>
      <c r="Y8" s="323">
        <f>(F8*verz_die_B)+(G8*verz_benz_A)</f>
        <v>0</v>
      </c>
      <c r="Z8" s="323">
        <f>(MRB_die_B*$F8)+(MRB_benz_B*$G8)</f>
        <v>0</v>
      </c>
      <c r="AA8" s="323">
        <f>($D8*F8*(verbr_die_B/100)*prijs_die)+($D8*G8*(verbr_benz_B/100)*prijs_benz)</f>
        <v>0</v>
      </c>
      <c r="AB8" s="323">
        <f>($D8*F8*Onderh_die_B)+($D8*G8*Onderh_benz_B)</f>
        <v>0</v>
      </c>
      <c r="AC8" s="323">
        <f t="shared" si="0"/>
        <v>0</v>
      </c>
      <c r="AD8" s="325">
        <f t="shared" si="1"/>
        <v>0</v>
      </c>
      <c r="AE8" s="323">
        <f>IF(BTW_verrekening="Ja",((N8+O8)-AC8)/(looptijd*12),((N8+O8+P8)-AD8)/(looptijd*12))</f>
        <v>0</v>
      </c>
      <c r="AG8" s="323">
        <f>(J8*verz_die_B)+(K8*verz_benz_B)+(L8*verz_BEV_B)</f>
        <v>0</v>
      </c>
      <c r="AH8" s="323">
        <f>(MRB_die_B*J8)+(MRB_benz_B*K8)+(MRB_BEV*L8)</f>
        <v>0</v>
      </c>
      <c r="AI8" s="323">
        <f>($D8*J8*(verbr_die_B/100)*prijs_die)+($D8*K8*(verbr_benz_B/100)*prijs_benz)+($D8*L8*(verbr_BEV_B/100)*prijs_elek_berekening)</f>
        <v>0</v>
      </c>
      <c r="AJ8" s="323">
        <f>Rest_perc*SUM(S8:T8)</f>
        <v>0</v>
      </c>
      <c r="AK8" s="323">
        <f t="shared" si="2"/>
        <v>0</v>
      </c>
      <c r="AL8" s="323">
        <f>($D8*J8*Onderh_die_B)+($D8*K8*Onderh_benz_B)+($D8*L8*Onderh_BEV_B)</f>
        <v>0</v>
      </c>
      <c r="AM8" s="323">
        <f t="shared" ref="AM8:AM16" si="7">IF(BTW_verrekening="Ja",((S8+T8-W8)-AJ8)/(looptijd*12),((S8+T8+U8)-AK8)/(looptijd*12))</f>
        <v>0</v>
      </c>
      <c r="AO8" s="326">
        <f>(Efac_die_TTW*(verbr_die_B/100)*$D8*F8)+(Efac_benz_TTW*(verbr_benz_B/100)*$D8*G8)</f>
        <v>0</v>
      </c>
      <c r="AP8" s="326">
        <f>(Efac_die_WTW*(verbr_die_B/100)*$D8*F8)+(Efac_benz_WTW*(verbr_benz_B/100)*$D8*G8)</f>
        <v>0</v>
      </c>
      <c r="AR8" s="326">
        <f>(Efac_die_TTW*(verbr_die_B/100)*$D8*J8)+(Efac_benz_TTW*(verbr_benz_B/100)*$D8*K8)+(Efac_elek_berekening_TTW*(verbr_BEV_A/100)*$D8*L8)</f>
        <v>0</v>
      </c>
      <c r="AS8" s="326">
        <f>(Efac_die_WTW*(verbr_die_B/100)*$D8*J8)+(Efac_benz_WTW*(verbr_benz_B/100)*$D8*K8)+(Efac_elek_berekening_WTW*(verbr_BEV_A/100)*$D8*L8)</f>
        <v>0</v>
      </c>
    </row>
    <row r="9" spans="1:45">
      <c r="A9" s="327">
        <v>6</v>
      </c>
      <c r="B9" s="319" t="s">
        <v>16</v>
      </c>
      <c r="C9" s="319">
        <v>20000</v>
      </c>
      <c r="D9" s="319">
        <f>$D$4</f>
        <v>20000</v>
      </c>
      <c r="E9" s="322">
        <f t="shared" si="3"/>
        <v>0</v>
      </c>
      <c r="F9" s="322">
        <v>0</v>
      </c>
      <c r="G9" s="322">
        <v>0</v>
      </c>
      <c r="H9" s="322"/>
      <c r="I9" s="322">
        <f t="shared" ref="I9:I11" si="8">SUM(J9:L9)</f>
        <v>0</v>
      </c>
      <c r="J9" s="322">
        <v>0</v>
      </c>
      <c r="K9" s="322">
        <v>0</v>
      </c>
      <c r="L9" s="322">
        <f t="shared" ref="L9:L11" si="9">E9</f>
        <v>0</v>
      </c>
      <c r="N9" s="323">
        <f>(Netto_cat_die_B*F9)+(Netto_cat_benz_B*G9)</f>
        <v>0</v>
      </c>
      <c r="O9" s="323">
        <f>(BPM_die_B*F9)+(BPM_benz_B*G9)</f>
        <v>0</v>
      </c>
      <c r="P9" s="324">
        <f>BTW*N9</f>
        <v>0</v>
      </c>
      <c r="Q9" s="324">
        <f t="shared" si="5"/>
        <v>0</v>
      </c>
      <c r="S9" s="323">
        <f>(Netto_cat_die_B*J9)+(Netto_cat_benz_B*K9)+(Netto_cat_BEV_B*L9)</f>
        <v>0</v>
      </c>
      <c r="T9" s="323">
        <f>(BPM_die_B*J9)+(BPM_benz_B*K9)+(BPM_BEV*L9)</f>
        <v>0</v>
      </c>
      <c r="U9" s="323">
        <f>BTW*S9</f>
        <v>0</v>
      </c>
      <c r="V9" s="323">
        <f t="shared" si="6"/>
        <v>0</v>
      </c>
      <c r="W9" s="323">
        <f>IF('2. Invoer parameters'!$C$10="ja",MIA_BEV_A*L9,0)</f>
        <v>0</v>
      </c>
      <c r="Y9" s="323">
        <f>(F9*verz_die_B)+(G9*verz_benz_A)</f>
        <v>0</v>
      </c>
      <c r="Z9" s="323">
        <f>(MRB_die_B*$F9)+(MRB_benz_B*$G9)</f>
        <v>0</v>
      </c>
      <c r="AA9" s="323">
        <f>($D9*F9*(verbr_die_B/100)*prijs_die)+($D9*G9*(verbr_benz_B/100)*prijs_benz)</f>
        <v>0</v>
      </c>
      <c r="AB9" s="323">
        <f>($D9*F9*Onderh_die_B)+($D9*G9*Onderh_benz_B)</f>
        <v>0</v>
      </c>
      <c r="AC9" s="323">
        <f t="shared" si="0"/>
        <v>0</v>
      </c>
      <c r="AD9" s="325">
        <f t="shared" si="1"/>
        <v>0</v>
      </c>
      <c r="AE9" s="323">
        <f>IF(BTW_verrekening="Ja",((N9+O9)-AC9)/(looptijd*12),((N9+O9+P9)-AD9)/(looptijd*12))</f>
        <v>0</v>
      </c>
      <c r="AG9" s="323">
        <f>(J9*verz_die_B)+(K9*verz_benz_B)+(L9*verz_BEV_B)</f>
        <v>0</v>
      </c>
      <c r="AH9" s="323">
        <f>(MRB_die_B*J9)+(MRB_benz_B*K9)+(MRB_BEV*L9)</f>
        <v>0</v>
      </c>
      <c r="AI9" s="323">
        <f>($D9*J9*(verbr_die_B/100)*prijs_die)+($D9*K9*(verbr_benz_B/100)*prijs_benz)+($D9*L9*(verbr_BEV_B/100)*prijs_elek_berekening)</f>
        <v>0</v>
      </c>
      <c r="AJ9" s="323">
        <f>Rest_perc*SUM(S9:T9)</f>
        <v>0</v>
      </c>
      <c r="AK9" s="323">
        <f t="shared" si="2"/>
        <v>0</v>
      </c>
      <c r="AL9" s="323">
        <f>($D9*J9*Onderh_die_B)+($D9*K9*Onderh_benz_B)+($D9*L9*Onderh_BEV_B)</f>
        <v>0</v>
      </c>
      <c r="AM9" s="323">
        <f t="shared" si="7"/>
        <v>0</v>
      </c>
      <c r="AO9" s="326">
        <f>(Efac_die_TTW*(verbr_die_B/100)*$D9*F9)+(Efac_benz_TTW*(verbr_benz_B/100)*$D9*G9)</f>
        <v>0</v>
      </c>
      <c r="AP9" s="326">
        <f>(Efac_die_WTW*(verbr_die_B/100)*$D9*F9)+(Efac_benz_WTW*(verbr_benz_B/100)*$D9*G9)</f>
        <v>0</v>
      </c>
      <c r="AR9" s="326">
        <f>(Efac_die_TTW*(verbr_die_B/100)*$D9*J9)+(Efac_benz_TTW*(verbr_benz_B/100)*$D9*K9)+(Efac_elek_berekening_TTW*(verbr_BEV_A/100)*$D9*L9)</f>
        <v>0</v>
      </c>
      <c r="AS9" s="326">
        <f>(Efac_die_WTW*(verbr_die_B/100)*$D9*J9)+(Efac_benz_WTW*(verbr_benz_B/100)*$D9*K9)+(Efac_elek_berekening_WTW*(verbr_BEV_A/100)*$D9*L9)</f>
        <v>0</v>
      </c>
    </row>
    <row r="10" spans="1:45">
      <c r="A10" s="327">
        <v>7</v>
      </c>
      <c r="B10" s="319" t="s">
        <v>16</v>
      </c>
      <c r="C10" s="319">
        <v>30000</v>
      </c>
      <c r="D10" s="319">
        <f>$D$5</f>
        <v>30000</v>
      </c>
      <c r="E10" s="322">
        <f t="shared" si="3"/>
        <v>0</v>
      </c>
      <c r="F10" s="322">
        <v>0</v>
      </c>
      <c r="G10" s="322">
        <v>0</v>
      </c>
      <c r="H10" s="322"/>
      <c r="I10" s="322">
        <f t="shared" si="8"/>
        <v>0</v>
      </c>
      <c r="J10" s="322">
        <v>0</v>
      </c>
      <c r="K10" s="322">
        <v>0</v>
      </c>
      <c r="L10" s="322">
        <f t="shared" si="9"/>
        <v>0</v>
      </c>
      <c r="N10" s="323">
        <f>(Netto_cat_die_B*F10)+(Netto_cat_benz_B*G10)</f>
        <v>0</v>
      </c>
      <c r="O10" s="323">
        <f>(BPM_die_B*F10)+(BPM_benz_B*G10)</f>
        <v>0</v>
      </c>
      <c r="P10" s="324">
        <f>BTW*N10</f>
        <v>0</v>
      </c>
      <c r="Q10" s="324">
        <f t="shared" si="5"/>
        <v>0</v>
      </c>
      <c r="S10" s="323">
        <f>(Netto_cat_die_B*J10)+(Netto_cat_benz_B*K10)+(Netto_cat_BEV_B*L10)</f>
        <v>0</v>
      </c>
      <c r="T10" s="323">
        <f>(BPM_die_B*J10)+(BPM_benz_B*K10)+(BPM_BEV*L10)</f>
        <v>0</v>
      </c>
      <c r="U10" s="323">
        <f>BTW*S10</f>
        <v>0</v>
      </c>
      <c r="V10" s="323">
        <f t="shared" si="6"/>
        <v>0</v>
      </c>
      <c r="W10" s="323">
        <f>IF('2. Invoer parameters'!$C$10="ja",MIA_BEV_A*L10,0)</f>
        <v>0</v>
      </c>
      <c r="Y10" s="323">
        <f>(F10*verz_die_B)+(G10*verz_benz_A)</f>
        <v>0</v>
      </c>
      <c r="Z10" s="323">
        <f>(MRB_die_B*$F10)+(MRB_benz_B*$G10)</f>
        <v>0</v>
      </c>
      <c r="AA10" s="323">
        <f>($D10*F10*(verbr_die_B/100)*prijs_die)+($D10*G10*(verbr_benz_B/100)*prijs_benz)</f>
        <v>0</v>
      </c>
      <c r="AB10" s="323">
        <f>($D10*F10*Onderh_die_B)+($D10*G10*Onderh_benz_B)</f>
        <v>0</v>
      </c>
      <c r="AC10" s="323">
        <f t="shared" si="0"/>
        <v>0</v>
      </c>
      <c r="AD10" s="325">
        <f t="shared" si="1"/>
        <v>0</v>
      </c>
      <c r="AE10" s="323">
        <f>IF(BTW_verrekening="Ja",((N10+O10)-AC10)/(looptijd*12),((N10+O10+P10)-AD10)/(looptijd*12))</f>
        <v>0</v>
      </c>
      <c r="AG10" s="323">
        <f>(J10*verz_die_B)+(K10*verz_benz_B)+(L10*verz_BEV_B)</f>
        <v>0</v>
      </c>
      <c r="AH10" s="323">
        <f>(MRB_die_B*J10)+(MRB_benz_B*K10)+(MRB_BEV*L10)</f>
        <v>0</v>
      </c>
      <c r="AI10" s="323">
        <f>($D10*J10*(verbr_die_B/100)*prijs_die)+($D10*K10*(verbr_benz_B/100)*prijs_benz)+($D10*L10*(verbr_BEV_B/100)*prijs_elek_berekening)</f>
        <v>0</v>
      </c>
      <c r="AJ10" s="323">
        <f>Rest_perc*SUM(S10:T10)</f>
        <v>0</v>
      </c>
      <c r="AK10" s="323">
        <f t="shared" si="2"/>
        <v>0</v>
      </c>
      <c r="AL10" s="323">
        <f>($D10*J10*Onderh_die_B)+($D10*K10*Onderh_benz_B)+($D10*L10*Onderh_BEV_B)</f>
        <v>0</v>
      </c>
      <c r="AM10" s="323">
        <f t="shared" si="7"/>
        <v>0</v>
      </c>
      <c r="AO10" s="326">
        <f>(Efac_die_TTW*(verbr_die_B/100)*$D10*F10)+(Efac_benz_TTW*(verbr_benz_B/100)*$D10*G10)</f>
        <v>0</v>
      </c>
      <c r="AP10" s="326">
        <f>(Efac_die_WTW*(verbr_die_B/100)*$D10*F10)+(Efac_benz_WTW*(verbr_benz_B/100)*$D10*G10)</f>
        <v>0</v>
      </c>
      <c r="AR10" s="326">
        <f>(Efac_die_TTW*(verbr_die_B/100)*$D10*J10)+(Efac_benz_TTW*(verbr_benz_B/100)*$D10*K10)+(Efac_elek_berekening_TTW*(verbr_BEV_A/100)*$D10*L10)</f>
        <v>0</v>
      </c>
      <c r="AS10" s="326">
        <f>(Efac_die_WTW*(verbr_die_B/100)*$D10*J10)+(Efac_benz_WTW*(verbr_benz_B/100)*$D10*K10)+(Efac_elek_berekening_WTW*(verbr_BEV_A/100)*$D10*L10)</f>
        <v>0</v>
      </c>
    </row>
    <row r="11" spans="1:45">
      <c r="A11" s="327">
        <v>8</v>
      </c>
      <c r="B11" s="319" t="s">
        <v>16</v>
      </c>
      <c r="C11" s="322" t="s">
        <v>396</v>
      </c>
      <c r="D11" s="319">
        <f>$D$6</f>
        <v>40000</v>
      </c>
      <c r="E11" s="322">
        <f t="shared" si="3"/>
        <v>0</v>
      </c>
      <c r="F11" s="322">
        <v>0</v>
      </c>
      <c r="G11" s="322">
        <v>0</v>
      </c>
      <c r="H11" s="322"/>
      <c r="I11" s="322">
        <f t="shared" si="8"/>
        <v>0</v>
      </c>
      <c r="J11" s="322">
        <v>0</v>
      </c>
      <c r="K11" s="322">
        <v>0</v>
      </c>
      <c r="L11" s="322">
        <f t="shared" si="9"/>
        <v>0</v>
      </c>
      <c r="N11" s="323">
        <f>(Netto_cat_die_B*F11)+(Netto_cat_benz_B*G11)</f>
        <v>0</v>
      </c>
      <c r="O11" s="323">
        <f>(BPM_die_B*F11)+(BPM_benz_B*G11)</f>
        <v>0</v>
      </c>
      <c r="P11" s="324">
        <f>BTW*N11</f>
        <v>0</v>
      </c>
      <c r="Q11" s="324">
        <f t="shared" si="5"/>
        <v>0</v>
      </c>
      <c r="S11" s="323">
        <f>(Netto_cat_die_B*J11)+(Netto_cat_benz_B*K11)+(Netto_cat_BEV_B*L11)</f>
        <v>0</v>
      </c>
      <c r="T11" s="323">
        <f>(BPM_die_B*J11)+(BPM_benz_B*K11)+(BPM_BEV*L11)</f>
        <v>0</v>
      </c>
      <c r="U11" s="323">
        <f>BTW*S11</f>
        <v>0</v>
      </c>
      <c r="V11" s="323">
        <f t="shared" si="6"/>
        <v>0</v>
      </c>
      <c r="W11" s="323">
        <f>IF('2. Invoer parameters'!$C$10="ja",MIA_BEV_A*L11,0)</f>
        <v>0</v>
      </c>
      <c r="Y11" s="323">
        <f>(F11*verz_die_B)+(G11*verz_benz_A)</f>
        <v>0</v>
      </c>
      <c r="Z11" s="323">
        <f>(MRB_die_B*$F11)+(MRB_benz_B*$G11)</f>
        <v>0</v>
      </c>
      <c r="AA11" s="323">
        <f>($D11*F11*(verbr_die_B/100)*prijs_die)+($D11*G11*(verbr_benz_B/100)*prijs_benz)</f>
        <v>0</v>
      </c>
      <c r="AB11" s="323">
        <f>($D11*F11*Onderh_die_B)+($D11*G11*Onderh_benz_B)</f>
        <v>0</v>
      </c>
      <c r="AC11" s="323">
        <f t="shared" si="0"/>
        <v>0</v>
      </c>
      <c r="AD11" s="325">
        <f t="shared" si="1"/>
        <v>0</v>
      </c>
      <c r="AE11" s="323">
        <f>IF(BTW_verrekening="Ja",((N11+O11)-AC11)/(looptijd*12),((N11+O11+P11)-AD11)/(looptijd*12))</f>
        <v>0</v>
      </c>
      <c r="AG11" s="323">
        <f>(J11*verz_die_B)+(K11*verz_benz_B)+(L11*verz_BEV_B)</f>
        <v>0</v>
      </c>
      <c r="AH11" s="323">
        <f>(MRB_die_B*J11)+(MRB_benz_B*K11)+(MRB_BEV*L11)</f>
        <v>0</v>
      </c>
      <c r="AI11" s="323">
        <f>($D11*J11*(verbr_die_B/100)*prijs_die)+($D11*K11*(verbr_benz_B/100)*prijs_benz)+($D11*L11*(verbr_BEV_B/100)*prijs_elek_berekening)</f>
        <v>0</v>
      </c>
      <c r="AJ11" s="323">
        <f>Rest_perc*SUM(S11:T11)</f>
        <v>0</v>
      </c>
      <c r="AK11" s="323">
        <f t="shared" si="2"/>
        <v>0</v>
      </c>
      <c r="AL11" s="323">
        <f>($D11*J11*Onderh_die_B)+($D11*K11*Onderh_benz_B)+($D11*L11*Onderh_BEV_B)</f>
        <v>0</v>
      </c>
      <c r="AM11" s="323">
        <f t="shared" si="7"/>
        <v>0</v>
      </c>
      <c r="AO11" s="326">
        <f>(Efac_die_TTW*(verbr_die_B/100)*$D11*F11)+(Efac_benz_TTW*(verbr_benz_B/100)*$D11*G11)</f>
        <v>0</v>
      </c>
      <c r="AP11" s="326">
        <f>(Efac_die_WTW*(verbr_die_B/100)*$D11*F11)+(Efac_benz_WTW*(verbr_benz_B/100)*$D11*G11)</f>
        <v>0</v>
      </c>
      <c r="AR11" s="326">
        <f>(Efac_die_TTW*(verbr_die_B/100)*$D11*J11)+(Efac_benz_TTW*(verbr_benz_B/100)*$D11*K11)+(Efac_elek_berekening_TTW*(verbr_BEV_A/100)*$D11*L11)</f>
        <v>0</v>
      </c>
      <c r="AS11" s="326">
        <f>(Efac_die_WTW*(verbr_die_B/100)*$D11*J11)+(Efac_benz_WTW*(verbr_benz_B/100)*$D11*K11)+(Efac_elek_berekening_WTW*(verbr_BEV_A/100)*$D11*L11)</f>
        <v>0</v>
      </c>
    </row>
    <row r="12" spans="1:45">
      <c r="C12" s="322"/>
      <c r="D12" s="322"/>
      <c r="E12" s="322"/>
      <c r="F12" s="322"/>
      <c r="G12" s="322"/>
      <c r="H12" s="322"/>
      <c r="I12" s="322"/>
      <c r="J12" s="322"/>
      <c r="K12" s="322"/>
      <c r="L12" s="322"/>
      <c r="P12" s="324"/>
      <c r="Q12" s="324"/>
      <c r="U12" s="323"/>
      <c r="V12" s="323"/>
      <c r="W12" s="323"/>
      <c r="AC12" s="323"/>
      <c r="AD12" s="325"/>
      <c r="AE12" s="323"/>
      <c r="AG12" s="323"/>
      <c r="AJ12" s="323"/>
      <c r="AK12" s="323"/>
      <c r="AM12" s="323"/>
    </row>
    <row r="13" spans="1:45">
      <c r="A13" s="327">
        <v>9</v>
      </c>
      <c r="B13" s="319" t="s">
        <v>19</v>
      </c>
      <c r="C13" s="319">
        <v>10000</v>
      </c>
      <c r="D13" s="319">
        <f>$D$3</f>
        <v>10000</v>
      </c>
      <c r="E13" s="322">
        <f t="shared" si="3"/>
        <v>0</v>
      </c>
      <c r="F13" s="322">
        <f t="array" ref="F13:F16">TRANSPOSE('1. Invoer wagenpark'!H6:K6)</f>
        <v>0</v>
      </c>
      <c r="G13" s="322">
        <f t="array" ref="G13:G16">TRANSPOSE('1. Invoer wagenpark'!D6:G6)</f>
        <v>0</v>
      </c>
      <c r="H13" s="322"/>
      <c r="I13" s="322">
        <f>SUM(J13:L13)</f>
        <v>0</v>
      </c>
      <c r="J13" s="322">
        <v>0</v>
      </c>
      <c r="K13" s="322">
        <v>0</v>
      </c>
      <c r="L13" s="322">
        <f>E13</f>
        <v>0</v>
      </c>
      <c r="N13" s="323">
        <f>(Netto_cat_die_C*F13)+(Netto_cat_benz_C*G13)</f>
        <v>0</v>
      </c>
      <c r="O13" s="323">
        <f>(BPM_die_C*F13)+(BPM_benz_C*G13)</f>
        <v>0</v>
      </c>
      <c r="P13" s="324">
        <f>BTW*N13</f>
        <v>0</v>
      </c>
      <c r="Q13" s="324">
        <f t="shared" si="5"/>
        <v>0</v>
      </c>
      <c r="S13" s="323">
        <f>(Netto_cat_die_C*J13)+(Netto_cat_benz_C*K13)+(Netto_cat_BEV_C*L13)</f>
        <v>0</v>
      </c>
      <c r="T13" s="323">
        <f>(BPM_die_C*J13)+(BPM_benz_C*K13)+(BPM_BEV*L13)</f>
        <v>0</v>
      </c>
      <c r="U13" s="323">
        <f>BTW*S13</f>
        <v>0</v>
      </c>
      <c r="V13" s="323">
        <f t="shared" si="6"/>
        <v>0</v>
      </c>
      <c r="W13" s="323">
        <f>IF('2. Invoer parameters'!$C$10="ja",MIA_BEV_A*L13,0)</f>
        <v>0</v>
      </c>
      <c r="Y13" s="323">
        <f>(F13*verz_die_C)+(G13*verz_benz_C)</f>
        <v>0</v>
      </c>
      <c r="Z13" s="323">
        <f>(MRB_die_C*$F13)+(MRB_benz_C*$G13)</f>
        <v>0</v>
      </c>
      <c r="AA13" s="323">
        <f>($D13*F13*(verbr_die_C/100)*prijs_die)+($D13*G13*(verbr_benz_C/100)*prijs_benz)</f>
        <v>0</v>
      </c>
      <c r="AB13" s="323">
        <f>($D13*F13*Onderh_die_C)+($D13*G13*Onderh_benz_C)</f>
        <v>0</v>
      </c>
      <c r="AC13" s="323">
        <f>Rest_perc*SUM(N13:O13)</f>
        <v>0</v>
      </c>
      <c r="AD13" s="325">
        <f>Rest_perc*SUM(N13:P13)</f>
        <v>0</v>
      </c>
      <c r="AE13" s="323">
        <f>IF(BTW_verrekening="Ja",((N13+O13)-AC13)/(looptijd*12),((N13+O13+P13)-AD13)/(looptijd*12))</f>
        <v>0</v>
      </c>
      <c r="AG13" s="323">
        <f>(J13*verz_die_C)+(K13*verz_benz_C)+(L13*verz_BEV_C)</f>
        <v>0</v>
      </c>
      <c r="AH13" s="323">
        <f>(MRB_die_C*J13)+(MRB_benz_C*K13)+(MRB_BEV*L13)</f>
        <v>0</v>
      </c>
      <c r="AI13" s="323">
        <f>($D13*J13*(verbr_die_C/100)*prijs_die)+($D13*K13*(verbr_benz_C/100)*prijs_benz)+($D13*L13*(verbr_BEV_C/100)*prijs_elek_berekening)</f>
        <v>0</v>
      </c>
      <c r="AJ13" s="323">
        <f>Rest_perc*SUM(S13:T13)</f>
        <v>0</v>
      </c>
      <c r="AK13" s="323">
        <f>Rest_perc*SUM(S13:U13)</f>
        <v>0</v>
      </c>
      <c r="AL13" s="323">
        <f>($D13*J13*Onderh_die_C)+($D13*K13*Onderh_benz_C)+($D13*L13*Onderh_BEV_C)</f>
        <v>0</v>
      </c>
      <c r="AM13" s="323">
        <f t="shared" si="7"/>
        <v>0</v>
      </c>
      <c r="AO13" s="326">
        <f>(Efac_die_TTW*(verbr_die_C/100)*$D13*F13)+(Efac_benz_TTW*(verbr_benz_C/100)*$D13*G13)</f>
        <v>0</v>
      </c>
      <c r="AP13" s="326">
        <f>(Efac_die_WTW*(verbr_die_C/100)*$D13*F13)+(Efac_benz_WTW*(verbr_benz_C/100)*$D13*G13)</f>
        <v>0</v>
      </c>
      <c r="AR13" s="326">
        <f>(Efac_die_TTW*(verbr_die_C/100)*$D13*J13)+(Efac_benz_TTW*(verbr_benz_C/100)*$D13*K13)+(Efac_elek_berekening_TTW*(verbr_BEV_C/100)*$D13*L13)</f>
        <v>0</v>
      </c>
      <c r="AS13" s="326">
        <f>(Efac_die_WTW*(verbr_die_C/100)*$D13*J13)+(Efac_benz_WTW*(verbr_benz_C/100)*$D13*K13)+(Efac_elek_berekening_WTW*(verbr_BEV_C/100)*$D13*L13)</f>
        <v>0</v>
      </c>
    </row>
    <row r="14" spans="1:45">
      <c r="A14" s="327">
        <v>10</v>
      </c>
      <c r="B14" s="319" t="s">
        <v>19</v>
      </c>
      <c r="C14" s="319">
        <v>20000</v>
      </c>
      <c r="D14" s="319">
        <f>$D$4</f>
        <v>20000</v>
      </c>
      <c r="E14" s="322">
        <f t="shared" si="3"/>
        <v>0</v>
      </c>
      <c r="F14" s="322">
        <v>0</v>
      </c>
      <c r="G14" s="322">
        <v>0</v>
      </c>
      <c r="H14" s="322"/>
      <c r="I14" s="322">
        <f t="shared" ref="I14:I16" si="10">SUM(J14:L14)</f>
        <v>0</v>
      </c>
      <c r="J14" s="322">
        <v>0</v>
      </c>
      <c r="K14" s="322">
        <v>0</v>
      </c>
      <c r="L14" s="322">
        <f t="shared" ref="L14:L16" si="11">E14</f>
        <v>0</v>
      </c>
      <c r="N14" s="323">
        <f>(Netto_cat_die_C*F14)+(Netto_cat_benz_C*G14)</f>
        <v>0</v>
      </c>
      <c r="O14" s="323">
        <f>(BPM_die_C*F14)+(BPM_benz_C*G14)</f>
        <v>0</v>
      </c>
      <c r="P14" s="324">
        <f>BTW*N14</f>
        <v>0</v>
      </c>
      <c r="Q14" s="324">
        <f t="shared" si="5"/>
        <v>0</v>
      </c>
      <c r="S14" s="323">
        <f>(Netto_cat_die_C*J14)+(Netto_cat_benz_C*K14)+(Netto_cat_BEV_C*L14)</f>
        <v>0</v>
      </c>
      <c r="T14" s="323">
        <f>(BPM_die_C*J14)+(BPM_benz_C*K14)+(BPM_BEV*L14)</f>
        <v>0</v>
      </c>
      <c r="U14" s="323">
        <f>BTW*S14</f>
        <v>0</v>
      </c>
      <c r="V14" s="323">
        <f t="shared" si="6"/>
        <v>0</v>
      </c>
      <c r="W14" s="323">
        <f>IF('2. Invoer parameters'!$C$10="ja",MIA_BEV_A*L14,0)</f>
        <v>0</v>
      </c>
      <c r="Y14" s="323">
        <f>(F14*verz_die_C)+(G14*verz_benz_C)</f>
        <v>0</v>
      </c>
      <c r="Z14" s="323">
        <f>(MRB_die_C*$F14)+(MRB_benz_C*$G14)</f>
        <v>0</v>
      </c>
      <c r="AA14" s="323">
        <f>($D14*F14*(verbr_die_C/100)*prijs_die)+($D14*G14*(verbr_benz_C/100)*prijs_benz)</f>
        <v>0</v>
      </c>
      <c r="AB14" s="323">
        <f>($D14*F14*Onderh_die_C)+($D14*G14*Onderh_benz_C)</f>
        <v>0</v>
      </c>
      <c r="AC14" s="323">
        <f>Rest_perc*SUM(N14:O14)</f>
        <v>0</v>
      </c>
      <c r="AD14" s="325">
        <f>Rest_perc*SUM(N14:P14)</f>
        <v>0</v>
      </c>
      <c r="AE14" s="323">
        <f>IF(BTW_verrekening="Ja",((N14+O14)-AC14)/(looptijd*12),((N14+O14+P14)-AD14)/(looptijd*12))</f>
        <v>0</v>
      </c>
      <c r="AG14" s="323">
        <f>(J14*verz_die_C)+(K14*verz_benz_C)+(L14*verz_BEV_C)</f>
        <v>0</v>
      </c>
      <c r="AH14" s="323">
        <f>(MRB_die_C*J14)+(MRB_benz_C*K14)+(MRB_BEV*L14)</f>
        <v>0</v>
      </c>
      <c r="AI14" s="323">
        <f>($D14*J14*(verbr_die_C/100)*prijs_die)+($D14*K14*(verbr_benz_C/100)*prijs_benz)+($D14*L14*(verbr_BEV_C/100)*prijs_elek_berekening)</f>
        <v>0</v>
      </c>
      <c r="AJ14" s="323">
        <f>Rest_perc*SUM(S14:T14)</f>
        <v>0</v>
      </c>
      <c r="AK14" s="323">
        <f>Rest_perc*SUM(S14:U14)</f>
        <v>0</v>
      </c>
      <c r="AL14" s="323">
        <f>($D14*J14*Onderh_die_C)+($D14*K14*Onderh_benz_C)+($D14*L14*Onderh_BEV_C)</f>
        <v>0</v>
      </c>
      <c r="AM14" s="323">
        <f t="shared" si="7"/>
        <v>0</v>
      </c>
      <c r="AO14" s="326">
        <f>(Efac_die_TTW*(verbr_die_C/100)*$D14*F14)+(Efac_benz_TTW*(verbr_benz_C/100)*$D14*G14)</f>
        <v>0</v>
      </c>
      <c r="AP14" s="326">
        <f>(Efac_die_WTW*(verbr_die_C/100)*$D14*F14)+(Efac_benz_WTW*(verbr_benz_C/100)*$D14*G14)</f>
        <v>0</v>
      </c>
      <c r="AR14" s="326">
        <f>(Efac_die_TTW*(verbr_die_C/100)*$D14*J14)+(Efac_benz_TTW*(verbr_benz_C/100)*$D14*K14)+(Efac_elek_berekening_TTW*(verbr_BEV_C/100)*$D14*L14)</f>
        <v>0</v>
      </c>
      <c r="AS14" s="326">
        <f>(Efac_die_WTW*(verbr_die_C/100)*$D14*J14)+(Efac_benz_WTW*(verbr_benz_C/100)*$D14*K14)+(Efac_elek_berekening_WTW*(verbr_BEV_C/100)*$D14*L14)</f>
        <v>0</v>
      </c>
    </row>
    <row r="15" spans="1:45">
      <c r="A15" s="327">
        <v>11</v>
      </c>
      <c r="B15" s="319" t="s">
        <v>19</v>
      </c>
      <c r="C15" s="319">
        <v>30000</v>
      </c>
      <c r="D15" s="319">
        <f>$D$5</f>
        <v>30000</v>
      </c>
      <c r="E15" s="322">
        <f t="shared" si="3"/>
        <v>0</v>
      </c>
      <c r="F15" s="322">
        <v>0</v>
      </c>
      <c r="G15" s="322">
        <v>0</v>
      </c>
      <c r="H15" s="322"/>
      <c r="I15" s="322">
        <f t="shared" si="10"/>
        <v>0</v>
      </c>
      <c r="J15" s="322">
        <v>0</v>
      </c>
      <c r="K15" s="322">
        <v>0</v>
      </c>
      <c r="L15" s="322">
        <f t="shared" si="11"/>
        <v>0</v>
      </c>
      <c r="N15" s="323">
        <f>(Netto_cat_die_C*F15)+(Netto_cat_benz_C*G15)</f>
        <v>0</v>
      </c>
      <c r="O15" s="323">
        <f>(BPM_die_C*F15)+(BPM_benz_C*G15)</f>
        <v>0</v>
      </c>
      <c r="P15" s="324">
        <f>BTW*N15</f>
        <v>0</v>
      </c>
      <c r="Q15" s="324">
        <f t="shared" si="5"/>
        <v>0</v>
      </c>
      <c r="S15" s="323">
        <f>(Netto_cat_die_C*J15)+(Netto_cat_benz_C*K15)+(Netto_cat_BEV_C*L15)</f>
        <v>0</v>
      </c>
      <c r="T15" s="323">
        <f>(BPM_die_C*J15)+(BPM_benz_C*K15)+(BPM_BEV*L15)</f>
        <v>0</v>
      </c>
      <c r="U15" s="323">
        <f>BTW*S15</f>
        <v>0</v>
      </c>
      <c r="V15" s="323">
        <f t="shared" si="6"/>
        <v>0</v>
      </c>
      <c r="W15" s="323">
        <f>IF('2. Invoer parameters'!$C$10="ja",MIA_BEV_A*L15,0)</f>
        <v>0</v>
      </c>
      <c r="Y15" s="323">
        <f>(F15*verz_die_C)+(G15*verz_benz_C)</f>
        <v>0</v>
      </c>
      <c r="Z15" s="323">
        <f>(MRB_die_C*$F15)+(MRB_benz_C*$G15)</f>
        <v>0</v>
      </c>
      <c r="AA15" s="323">
        <f>($D15*F15*(verbr_die_C/100)*prijs_die)+($D15*G15*(verbr_benz_C/100)*prijs_benz)</f>
        <v>0</v>
      </c>
      <c r="AB15" s="323">
        <f>($D15*F15*Onderh_die_C)+($D15*G15*Onderh_benz_C)</f>
        <v>0</v>
      </c>
      <c r="AC15" s="323">
        <f>Rest_perc*SUM(N15:O15)</f>
        <v>0</v>
      </c>
      <c r="AD15" s="325">
        <f>Rest_perc*SUM(N15:P15)</f>
        <v>0</v>
      </c>
      <c r="AE15" s="323">
        <f>IF(BTW_verrekening="Ja",((N15+O15)-AC15)/(looptijd*12),((N15+O15+P15)-AD15)/(looptijd*12))</f>
        <v>0</v>
      </c>
      <c r="AG15" s="323">
        <f>(J15*verz_die_C)+(K15*verz_benz_C)+(L15*verz_BEV_C)</f>
        <v>0</v>
      </c>
      <c r="AH15" s="323">
        <f>(MRB_die_C*J15)+(MRB_benz_C*K15)+(MRB_BEV*L15)</f>
        <v>0</v>
      </c>
      <c r="AI15" s="323">
        <f>($D15*J15*(verbr_die_C/100)*prijs_die)+($D15*K15*(verbr_benz_C/100)*prijs_benz)+($D15*L15*(verbr_BEV_C/100)*prijs_elek_berekening)</f>
        <v>0</v>
      </c>
      <c r="AJ15" s="323">
        <f>Rest_perc*SUM(S15:T15)</f>
        <v>0</v>
      </c>
      <c r="AK15" s="323">
        <f>Rest_perc*SUM(S15:U15)</f>
        <v>0</v>
      </c>
      <c r="AL15" s="323">
        <f>($D15*J15*Onderh_die_C)+($D15*K15*Onderh_benz_C)+($D15*L15*Onderh_BEV_C)</f>
        <v>0</v>
      </c>
      <c r="AM15" s="323">
        <f t="shared" si="7"/>
        <v>0</v>
      </c>
      <c r="AO15" s="326">
        <f>(Efac_die_TTW*(verbr_die_C/100)*$D15*F15)+(Efac_benz_TTW*(verbr_benz_C/100)*$D15*G15)</f>
        <v>0</v>
      </c>
      <c r="AP15" s="326">
        <f>(Efac_die_WTW*(verbr_die_C/100)*$D15*F15)+(Efac_benz_WTW*(verbr_benz_C/100)*$D15*G15)</f>
        <v>0</v>
      </c>
      <c r="AR15" s="326">
        <f>(Efac_die_TTW*(verbr_die_C/100)*$D15*J15)+(Efac_benz_TTW*(verbr_benz_C/100)*$D15*K15)+(Efac_elek_berekening_TTW*(verbr_BEV_C/100)*$D15*L15)</f>
        <v>0</v>
      </c>
      <c r="AS15" s="326">
        <f>(Efac_die_WTW*(verbr_die_C/100)*$D15*J15)+(Efac_benz_WTW*(verbr_benz_C/100)*$D15*K15)+(Efac_elek_berekening_WTW*(verbr_BEV_C/100)*$D15*L15)</f>
        <v>0</v>
      </c>
    </row>
    <row r="16" spans="1:45">
      <c r="A16" s="327">
        <v>12</v>
      </c>
      <c r="B16" s="319" t="s">
        <v>19</v>
      </c>
      <c r="C16" s="322" t="s">
        <v>396</v>
      </c>
      <c r="D16" s="319">
        <f>$D$6</f>
        <v>40000</v>
      </c>
      <c r="E16" s="322">
        <f t="shared" si="3"/>
        <v>0</v>
      </c>
      <c r="F16" s="322">
        <v>0</v>
      </c>
      <c r="G16" s="322">
        <v>0</v>
      </c>
      <c r="H16" s="322"/>
      <c r="I16" s="322">
        <f t="shared" si="10"/>
        <v>0</v>
      </c>
      <c r="J16" s="322">
        <v>0</v>
      </c>
      <c r="K16" s="322">
        <v>0</v>
      </c>
      <c r="L16" s="322">
        <f t="shared" si="11"/>
        <v>0</v>
      </c>
      <c r="N16" s="323">
        <f>(Netto_cat_die_C*F16)+(Netto_cat_benz_C*G16)</f>
        <v>0</v>
      </c>
      <c r="O16" s="323">
        <f>(BPM_die_C*F16)+(BPM_benz_C*G16)</f>
        <v>0</v>
      </c>
      <c r="P16" s="324">
        <f>BTW*N16</f>
        <v>0</v>
      </c>
      <c r="Q16" s="324">
        <f t="shared" si="5"/>
        <v>0</v>
      </c>
      <c r="S16" s="323">
        <f>(Netto_cat_die_C*J16)+(Netto_cat_benz_C*K16)+(Netto_cat_BEV_C*L16)</f>
        <v>0</v>
      </c>
      <c r="T16" s="323">
        <f>(BPM_die_C*J16)+(BPM_benz_C*K16)+(BPM_BEV*L16)</f>
        <v>0</v>
      </c>
      <c r="U16" s="323">
        <f>BTW*S16</f>
        <v>0</v>
      </c>
      <c r="V16" s="323">
        <f t="shared" si="6"/>
        <v>0</v>
      </c>
      <c r="W16" s="323">
        <f>IF('2. Invoer parameters'!$C$10="ja",MIA_BEV_A*L16,0)</f>
        <v>0</v>
      </c>
      <c r="Y16" s="323">
        <f>(F16*verz_die_C)+(G16*verz_benz_C)</f>
        <v>0</v>
      </c>
      <c r="Z16" s="323">
        <f>(MRB_die_C*$F16)+(MRB_benz_C*$G16)</f>
        <v>0</v>
      </c>
      <c r="AA16" s="323">
        <f>($D16*F16*(verbr_die_C/100)*prijs_die)+($D16*G16*(verbr_benz_C/100)*prijs_benz)</f>
        <v>0</v>
      </c>
      <c r="AB16" s="323">
        <f>($D16*F16*Onderh_die_C)+($D16*G16*Onderh_benz_C)</f>
        <v>0</v>
      </c>
      <c r="AC16" s="323">
        <f>Rest_perc*SUM(N16:O16)</f>
        <v>0</v>
      </c>
      <c r="AD16" s="325">
        <f>Rest_perc*SUM(N16:P16)</f>
        <v>0</v>
      </c>
      <c r="AE16" s="323">
        <f>IF(BTW_verrekening="Ja",((N16+O16)-AC16)/(looptijd*12),((N16+O16+P16)-AD16)/(looptijd*12))</f>
        <v>0</v>
      </c>
      <c r="AG16" s="323">
        <f>(J16*verz_die_C)+(K16*verz_benz_C)+(L16*verz_BEV_C)</f>
        <v>0</v>
      </c>
      <c r="AH16" s="323">
        <f>(MRB_die_C*J16)+(MRB_benz_C*K16)+(MRB_BEV*L16)</f>
        <v>0</v>
      </c>
      <c r="AI16" s="323">
        <f>($D16*J16*(verbr_die_C/100)*prijs_die)+($D16*K16*(verbr_benz_C/100)*prijs_benz)+($D16*L16*(verbr_BEV_C/100)*prijs_elek_berekening)</f>
        <v>0</v>
      </c>
      <c r="AJ16" s="323">
        <f>Rest_perc*SUM(S16:T16)</f>
        <v>0</v>
      </c>
      <c r="AK16" s="323">
        <f>Rest_perc*SUM(S16:U16)</f>
        <v>0</v>
      </c>
      <c r="AL16" s="323">
        <f>($D16*J16*Onderh_die_C)+($D16*K16*Onderh_benz_C)+($D16*L16*Onderh_BEV_C)</f>
        <v>0</v>
      </c>
      <c r="AM16" s="323">
        <f t="shared" si="7"/>
        <v>0</v>
      </c>
      <c r="AO16" s="326">
        <f>(Efac_die_TTW*(verbr_die_C/100)*$D16*F16)+(Efac_benz_TTW*(verbr_benz_C/100)*$D16*G16)</f>
        <v>0</v>
      </c>
      <c r="AP16" s="326">
        <f>(Efac_die_WTW*(verbr_die_C/100)*$D16*F16)+(Efac_benz_WTW*(verbr_benz_C/100)*$D16*G16)</f>
        <v>0</v>
      </c>
      <c r="AR16" s="326">
        <f>(Efac_die_TTW*(verbr_die_C/100)*$D16*J16)+(Efac_benz_TTW*(verbr_benz_C/100)*$D16*K16)+(Efac_elek_berekening_TTW*(verbr_BEV_C/100)*$D16*L16)</f>
        <v>0</v>
      </c>
      <c r="AS16" s="326">
        <f>(Efac_die_WTW*(verbr_die_C/100)*$D16*J16)+(Efac_benz_WTW*(verbr_benz_C/100)*$D16*K16)+(Efac_elek_berekening_WTW*(verbr_BEV_C/100)*$D16*L16)</f>
        <v>0</v>
      </c>
    </row>
    <row r="17" spans="1:45" ht="16.149999999999999" customHeight="1">
      <c r="A17" s="327"/>
      <c r="C17" s="322"/>
      <c r="D17" s="322"/>
      <c r="E17" s="322"/>
      <c r="F17" s="322"/>
      <c r="G17" s="322"/>
      <c r="H17" s="322"/>
      <c r="I17" s="322"/>
      <c r="J17" s="322"/>
      <c r="K17" s="322"/>
      <c r="L17" s="322"/>
      <c r="P17" s="324"/>
      <c r="Q17" s="324"/>
      <c r="U17" s="323"/>
      <c r="V17" s="323"/>
      <c r="W17" s="323"/>
      <c r="AC17" s="323"/>
      <c r="AD17" s="325"/>
      <c r="AE17" s="323"/>
      <c r="AG17" s="323"/>
      <c r="AJ17" s="323"/>
      <c r="AK17" s="323"/>
      <c r="AM17" s="323"/>
      <c r="AP17" s="326"/>
    </row>
    <row r="18" spans="1:45" ht="16.149999999999999" customHeight="1">
      <c r="A18" s="327">
        <v>13</v>
      </c>
      <c r="B18" s="319" t="s">
        <v>22</v>
      </c>
      <c r="C18" s="319">
        <v>10000</v>
      </c>
      <c r="D18" s="319">
        <f>$D$3</f>
        <v>10000</v>
      </c>
      <c r="E18" s="322">
        <f t="shared" si="3"/>
        <v>0</v>
      </c>
      <c r="F18" s="322">
        <f t="array" ref="F18:F21">TRANSPOSE('1. Invoer wagenpark'!H7:K7)</f>
        <v>0</v>
      </c>
      <c r="G18" s="322">
        <f t="array" ref="G18:G21">TRANSPOSE('1. Invoer wagenpark'!D7:G7)</f>
        <v>0</v>
      </c>
      <c r="H18" s="322"/>
      <c r="I18" s="322">
        <f t="shared" si="4"/>
        <v>0</v>
      </c>
      <c r="J18" s="322">
        <v>0</v>
      </c>
      <c r="K18" s="322">
        <v>0</v>
      </c>
      <c r="L18" s="322">
        <f>E18</f>
        <v>0</v>
      </c>
      <c r="N18" s="323">
        <f>(Netto_cat_die_D*F18)+(Netto_cat_benz_D*G18)</f>
        <v>0</v>
      </c>
      <c r="O18" s="323">
        <f>(BPM_die_D*F18)+(BPM_benz_D*G18)</f>
        <v>0</v>
      </c>
      <c r="P18" s="324">
        <f>BTW*N18</f>
        <v>0</v>
      </c>
      <c r="Q18" s="324">
        <f t="shared" si="5"/>
        <v>0</v>
      </c>
      <c r="S18" s="323">
        <f>(Netto_cat_die_D*J18)+(Netto_cat_benz_D*K18)+(Netto_cat_BEV_D*L18)</f>
        <v>0</v>
      </c>
      <c r="T18" s="323">
        <f>(BPM_die_D*J18)+(BPM_benz_D*K18)+(BPM_BEV*L18)</f>
        <v>0</v>
      </c>
      <c r="U18" s="323">
        <f>BTW*S18</f>
        <v>0</v>
      </c>
      <c r="V18" s="323">
        <f t="shared" si="6"/>
        <v>0</v>
      </c>
      <c r="W18" s="323">
        <f>IF('2. Invoer parameters'!$C$10="ja",MIA_BEV_A*L18,0)</f>
        <v>0</v>
      </c>
      <c r="Y18" s="323">
        <f>(F18*verz_die_D)+(G18*verz_benz_D)</f>
        <v>0</v>
      </c>
      <c r="Z18" s="323">
        <f>(MRB_die_D*$F18)+(MRB_benz_D*$G18)</f>
        <v>0</v>
      </c>
      <c r="AA18" s="323">
        <f>($D18*F18*(verbr_die_D/100)*prijs_die)+($D18*G18*(verbr_benz_D/100)*prijs_benz)</f>
        <v>0</v>
      </c>
      <c r="AB18" s="323">
        <f>($D18*F18*Onderh_die_D)+($D18*G18*Onderh_benz_D)</f>
        <v>0</v>
      </c>
      <c r="AC18" s="323">
        <f>Rest_perc*SUM(N18:O18)</f>
        <v>0</v>
      </c>
      <c r="AD18" s="325">
        <f>Rest_perc*SUM(N18:P18)</f>
        <v>0</v>
      </c>
      <c r="AE18" s="323">
        <f>IF(BTW_verrekening="Ja",((N18+O18)-AC18)/(looptijd*12),((N18+O18+P18)-AD18)/(looptijd*12))</f>
        <v>0</v>
      </c>
      <c r="AG18" s="323">
        <f>(J18*verz_die_D)+(K18*verz_benz_D)+(L18*verz_BEV_D)</f>
        <v>0</v>
      </c>
      <c r="AH18" s="323">
        <f>(MRB_die_D*J18)+(MRB_benz_D*K18)+(MRB_BEV*L18)</f>
        <v>0</v>
      </c>
      <c r="AI18" s="323">
        <f>($D18*J18*(verbr_die_D/100)*prijs_die)+($D18*K18*(verbr_benz_D/100)*prijs_benz)+($D18*L18*(verbr_BEV_D/100)*prijs_elek_berekening)</f>
        <v>0</v>
      </c>
      <c r="AJ18" s="323">
        <f>Rest_perc*SUM(S18:T18)</f>
        <v>0</v>
      </c>
      <c r="AK18" s="323">
        <f>Rest_perc*SUM(S18:U18)</f>
        <v>0</v>
      </c>
      <c r="AL18" s="323">
        <f>($D18*J18*Onderh_die_D)+($D18*K18*Onderh_benz_D)+($D18*L18*Onderh_BEV_D)</f>
        <v>0</v>
      </c>
      <c r="AM18" s="323">
        <f>IF(BTW_verrekening="Ja",((S18+T18-W18)-AJ18)/(looptijd*12),((S18+T18+U18)-AK18)/(looptijd*12))</f>
        <v>0</v>
      </c>
      <c r="AO18" s="326">
        <f>(Efac_die_TTW*(verbr_die_D/100)*$D18*F18)+(Efac_benz_TTW*(verbr_benz_D/100)*$D18*G18)</f>
        <v>0</v>
      </c>
      <c r="AP18" s="326">
        <f>(Efac_die_WTW*(verbr_die_D/100)*$D18*F18)+(Efac_benz_WTW*(verbr_benz_D/100)*$D18*G18)</f>
        <v>0</v>
      </c>
      <c r="AR18" s="326">
        <f>(Efac_die_TTW*(verbr_die_D/100)*$D18*J18)+(Efac_benz_TTW*(verbr_benz_D/100)*$D18*K18)+(Efac_elek_berekening_TTW*(verbr_BEV_D/100)*$D18*L18)</f>
        <v>0</v>
      </c>
      <c r="AS18" s="326">
        <f>(Efac_die_WTW*(verbr_die_D/100)*$D18*J18)+(Efac_benz_WTW*(verbr_benz_D/100)*$D18*K18)+(Efac_elek_berekening_WTW*(verbr_BEV_D/100)*$D18*L18)</f>
        <v>0</v>
      </c>
    </row>
    <row r="19" spans="1:45" ht="16.149999999999999" customHeight="1">
      <c r="A19" s="327">
        <v>14</v>
      </c>
      <c r="B19" s="319" t="s">
        <v>22</v>
      </c>
      <c r="C19" s="319">
        <v>20000</v>
      </c>
      <c r="D19" s="319">
        <f>$D$4</f>
        <v>20000</v>
      </c>
      <c r="E19" s="322">
        <f t="shared" si="3"/>
        <v>0</v>
      </c>
      <c r="F19" s="322">
        <v>0</v>
      </c>
      <c r="G19" s="322">
        <v>0</v>
      </c>
      <c r="H19" s="322"/>
      <c r="I19" s="322">
        <f t="shared" si="4"/>
        <v>0</v>
      </c>
      <c r="J19" s="322">
        <v>0</v>
      </c>
      <c r="K19" s="322">
        <v>0</v>
      </c>
      <c r="L19" s="322">
        <f t="shared" ref="L19:L21" si="12">E19</f>
        <v>0</v>
      </c>
      <c r="N19" s="323">
        <f>(Netto_cat_die_D*F19)+(Netto_cat_benz_D*G19)</f>
        <v>0</v>
      </c>
      <c r="O19" s="323">
        <f>(BPM_die_D*F19)+(BPM_benz_D*G19)</f>
        <v>0</v>
      </c>
      <c r="P19" s="324">
        <f>BTW*N19</f>
        <v>0</v>
      </c>
      <c r="Q19" s="324">
        <f t="shared" si="5"/>
        <v>0</v>
      </c>
      <c r="S19" s="323">
        <f>(Netto_cat_die_D*J19)+(Netto_cat_benz_D*K19)+(Netto_cat_BEV_D*L19)</f>
        <v>0</v>
      </c>
      <c r="T19" s="323">
        <f>(BPM_die_D*J19)+(BPM_benz_D*K19)+(BPM_BEV*L19)</f>
        <v>0</v>
      </c>
      <c r="U19" s="323">
        <f>BTW*S19</f>
        <v>0</v>
      </c>
      <c r="V19" s="323">
        <f t="shared" si="6"/>
        <v>0</v>
      </c>
      <c r="W19" s="323">
        <f>IF('2. Invoer parameters'!$C$10="ja",MIA_BEV_A*L19,0)</f>
        <v>0</v>
      </c>
      <c r="Y19" s="323">
        <f>(F19*verz_die_D)+(G19*verz_benz_D)</f>
        <v>0</v>
      </c>
      <c r="Z19" s="323">
        <f>(MRB_die_D*$F19)+(MRB_benz_D*$G19)</f>
        <v>0</v>
      </c>
      <c r="AA19" s="323">
        <f>($D19*F19*(verbr_die_D/100)*prijs_die)+($D19*G19*(verbr_benz_D/100)*prijs_benz)</f>
        <v>0</v>
      </c>
      <c r="AB19" s="323">
        <f>($D19*F19*Onderh_die_D)+($D19*G19*Onderh_benz_D)</f>
        <v>0</v>
      </c>
      <c r="AC19" s="323">
        <f>Rest_perc*SUM(N19:O19)</f>
        <v>0</v>
      </c>
      <c r="AD19" s="325">
        <f>Rest_perc*SUM(N19:P19)</f>
        <v>0</v>
      </c>
      <c r="AE19" s="323">
        <f>IF(BTW_verrekening="Ja",((N19+O19)-AC19)/(looptijd*12),((N19+O19+P19)-AD19)/(looptijd*12))</f>
        <v>0</v>
      </c>
      <c r="AG19" s="323">
        <f>(J19*verz_die_D)+(K19*verz_benz_D)+(L19*verz_BEV_D)</f>
        <v>0</v>
      </c>
      <c r="AH19" s="323">
        <f>(MRB_die_D*J19)+(MRB_benz_D*K19)+(MRB_BEV*L19)</f>
        <v>0</v>
      </c>
      <c r="AI19" s="323">
        <f>($D19*J19*(verbr_die_D/100)*prijs_die)+($D19*K19*(verbr_benz_D/100)*prijs_benz)+($D19*L19*(verbr_BEV_D/100)*prijs_elek_berekening)</f>
        <v>0</v>
      </c>
      <c r="AJ19" s="323">
        <f>Rest_perc*SUM(S19:T19)</f>
        <v>0</v>
      </c>
      <c r="AK19" s="323">
        <f>Rest_perc*SUM(S19:U19)</f>
        <v>0</v>
      </c>
      <c r="AL19" s="323">
        <f>($D19*J19*Onderh_die_D)+($D19*K19*Onderh_benz_D)+($D19*L19*Onderh_BEV_D)</f>
        <v>0</v>
      </c>
      <c r="AM19" s="323">
        <f>IF(BTW_verrekening="Ja",((S19+T19-W19)-AJ19)/(looptijd*12),((S19+T19+U19)-AK19)/(looptijd*12))</f>
        <v>0</v>
      </c>
      <c r="AO19" s="326">
        <f>(Efac_die_TTW*(verbr_die_D/100)*$D19*F19)+(Efac_benz_TTW*(verbr_benz_D/100)*$D19*G19)</f>
        <v>0</v>
      </c>
      <c r="AP19" s="326">
        <f>(Efac_die_WTW*(verbr_die_D/100)*$D19*F19)+(Efac_benz_WTW*(verbr_benz_D/100)*$D19*G19)</f>
        <v>0</v>
      </c>
      <c r="AR19" s="326">
        <f>(Efac_die_TTW*(verbr_die_D/100)*$D19*J19)+(Efac_benz_TTW*(verbr_benz_D/100)*$D19*K19)+(Efac_elek_berekening_TTW*(verbr_BEV_D/100)*$D19*L19)</f>
        <v>0</v>
      </c>
      <c r="AS19" s="326">
        <f>(Efac_die_WTW*(verbr_die_D/100)*$D19*J19)+(Efac_benz_WTW*(verbr_benz_D/100)*$D19*K19)+(Efac_elek_berekening_WTW*(verbr_BEV_D/100)*$D19*L19)</f>
        <v>0</v>
      </c>
    </row>
    <row r="20" spans="1:45" ht="16.149999999999999" customHeight="1">
      <c r="A20" s="327">
        <v>15</v>
      </c>
      <c r="B20" s="319" t="s">
        <v>22</v>
      </c>
      <c r="C20" s="319">
        <v>30000</v>
      </c>
      <c r="D20" s="319">
        <f>$D$5</f>
        <v>30000</v>
      </c>
      <c r="E20" s="322">
        <f t="shared" si="3"/>
        <v>0</v>
      </c>
      <c r="F20" s="322">
        <v>0</v>
      </c>
      <c r="G20" s="322">
        <v>0</v>
      </c>
      <c r="H20" s="322"/>
      <c r="I20" s="322">
        <f t="shared" si="4"/>
        <v>0</v>
      </c>
      <c r="J20" s="322">
        <v>0</v>
      </c>
      <c r="K20" s="322">
        <v>0</v>
      </c>
      <c r="L20" s="322">
        <f t="shared" si="12"/>
        <v>0</v>
      </c>
      <c r="N20" s="323">
        <f>(Netto_cat_die_D*F20)+(Netto_cat_benz_D*G20)</f>
        <v>0</v>
      </c>
      <c r="O20" s="323">
        <f>(BPM_die_D*F20)+(BPM_benz_D*G20)</f>
        <v>0</v>
      </c>
      <c r="P20" s="324">
        <f>BTW*N20</f>
        <v>0</v>
      </c>
      <c r="Q20" s="324">
        <f t="shared" si="5"/>
        <v>0</v>
      </c>
      <c r="S20" s="323">
        <f>(Netto_cat_die_D*J20)+(Netto_cat_benz_D*K20)+(Netto_cat_BEV_D*L20)</f>
        <v>0</v>
      </c>
      <c r="T20" s="323">
        <f>(BPM_die_D*J20)+(BPM_benz_D*K20)+(BPM_BEV*L20)</f>
        <v>0</v>
      </c>
      <c r="U20" s="323">
        <f>BTW*S20</f>
        <v>0</v>
      </c>
      <c r="V20" s="323">
        <f t="shared" si="6"/>
        <v>0</v>
      </c>
      <c r="W20" s="323">
        <f>IF('2. Invoer parameters'!$C$10="ja",MIA_BEV_A*L20,0)</f>
        <v>0</v>
      </c>
      <c r="Y20" s="323">
        <f>(F20*verz_die_D)+(G20*verz_benz_D)</f>
        <v>0</v>
      </c>
      <c r="Z20" s="323">
        <f>(MRB_die_D*$F20)+(MRB_benz_D*$G20)</f>
        <v>0</v>
      </c>
      <c r="AA20" s="323">
        <f>($D20*F20*(verbr_die_D/100)*prijs_die)+($D20*G20*(verbr_benz_D/100)*prijs_benz)</f>
        <v>0</v>
      </c>
      <c r="AB20" s="323">
        <f>($D20*F20*Onderh_die_D)+($D20*G20*Onderh_benz_D)</f>
        <v>0</v>
      </c>
      <c r="AC20" s="323">
        <f>Rest_perc*SUM(N20:O20)</f>
        <v>0</v>
      </c>
      <c r="AD20" s="325">
        <f>Rest_perc*SUM(N20:P20)</f>
        <v>0</v>
      </c>
      <c r="AE20" s="323">
        <f>IF(BTW_verrekening="Ja",((N20+O20)-AC20)/(looptijd*12),((N20+O20+P20)-AD20)/(looptijd*12))</f>
        <v>0</v>
      </c>
      <c r="AG20" s="323">
        <f>(J20*verz_die_D)+(K20*verz_benz_D)+(L20*verz_BEV_D)</f>
        <v>0</v>
      </c>
      <c r="AH20" s="323">
        <f>(MRB_die_D*J20)+(MRB_benz_D*K20)+(MRB_BEV*L20)</f>
        <v>0</v>
      </c>
      <c r="AI20" s="323">
        <f>($D20*J20*(verbr_die_D/100)*prijs_die)+($D20*K20*(verbr_benz_D/100)*prijs_benz)+($D20*L20*(verbr_BEV_D/100)*prijs_elek_berekening)</f>
        <v>0</v>
      </c>
      <c r="AJ20" s="323">
        <f>Rest_perc*SUM(S20:T20)</f>
        <v>0</v>
      </c>
      <c r="AK20" s="323">
        <f>Rest_perc*SUM(S20:U20)</f>
        <v>0</v>
      </c>
      <c r="AL20" s="323">
        <f>($D20*J20*Onderh_die_D)+($D20*K20*Onderh_benz_D)+($D20*L20*Onderh_BEV_D)</f>
        <v>0</v>
      </c>
      <c r="AM20" s="323">
        <f>IF(BTW_verrekening="Ja",((S20+T20-W20)-AJ20)/(looptijd*12),((S20+T20+U20)-AK20)/(looptijd*12))</f>
        <v>0</v>
      </c>
      <c r="AO20" s="326">
        <f>(Efac_die_TTW*(verbr_die_D/100)*$D20*F20)+(Efac_benz_TTW*(verbr_benz_D/100)*$D20*G20)</f>
        <v>0</v>
      </c>
      <c r="AP20" s="326">
        <f>(Efac_die_WTW*(verbr_die_D/100)*$D20*F20)+(Efac_benz_WTW*(verbr_benz_D/100)*$D20*G20)</f>
        <v>0</v>
      </c>
      <c r="AR20" s="326">
        <f>(Efac_die_TTW*(verbr_die_D/100)*$D20*J20)+(Efac_benz_TTW*(verbr_benz_D/100)*$D20*K20)+(Efac_elek_berekening_TTW*(verbr_BEV_D/100)*$D20*L20)</f>
        <v>0</v>
      </c>
      <c r="AS20" s="326">
        <f>(Efac_die_WTW*(verbr_die_D/100)*$D20*J20)+(Efac_benz_WTW*(verbr_benz_D/100)*$D20*K20)+(Efac_elek_berekening_WTW*(verbr_BEV_D/100)*$D20*L20)</f>
        <v>0</v>
      </c>
    </row>
    <row r="21" spans="1:45" ht="16.149999999999999" customHeight="1">
      <c r="A21" s="327">
        <v>16</v>
      </c>
      <c r="B21" s="319" t="s">
        <v>22</v>
      </c>
      <c r="C21" s="322" t="s">
        <v>396</v>
      </c>
      <c r="D21" s="319">
        <f>$D$6</f>
        <v>40000</v>
      </c>
      <c r="E21" s="322">
        <f t="shared" si="3"/>
        <v>0</v>
      </c>
      <c r="F21" s="322">
        <v>0</v>
      </c>
      <c r="G21" s="322">
        <v>0</v>
      </c>
      <c r="H21" s="322"/>
      <c r="I21" s="322">
        <f t="shared" si="4"/>
        <v>0</v>
      </c>
      <c r="J21" s="322">
        <v>0</v>
      </c>
      <c r="K21" s="322">
        <v>0</v>
      </c>
      <c r="L21" s="322">
        <f t="shared" si="12"/>
        <v>0</v>
      </c>
      <c r="N21" s="323">
        <f>(Netto_cat_die_D*F21)+(Netto_cat_benz_D*G21)</f>
        <v>0</v>
      </c>
      <c r="O21" s="323">
        <f>(BPM_die_D*F21)+(BPM_benz_D*G21)</f>
        <v>0</v>
      </c>
      <c r="P21" s="324">
        <f>BTW*N21</f>
        <v>0</v>
      </c>
      <c r="Q21" s="324">
        <f t="shared" si="5"/>
        <v>0</v>
      </c>
      <c r="S21" s="323">
        <f>(Netto_cat_die_D*J21)+(Netto_cat_benz_D*K21)+(Netto_cat_BEV_D*L21)</f>
        <v>0</v>
      </c>
      <c r="T21" s="323">
        <f>(BPM_die_D*J21)+(BPM_benz_D*K21)+(BPM_BEV*L21)</f>
        <v>0</v>
      </c>
      <c r="U21" s="323">
        <f>BTW*S21</f>
        <v>0</v>
      </c>
      <c r="V21" s="323">
        <f t="shared" si="6"/>
        <v>0</v>
      </c>
      <c r="W21" s="323">
        <f>IF('2. Invoer parameters'!$C$10="ja",MIA_BEV_A*L21,0)</f>
        <v>0</v>
      </c>
      <c r="Y21" s="323">
        <f>(F21*verz_die_D)+(G21*verz_benz_D)</f>
        <v>0</v>
      </c>
      <c r="Z21" s="323">
        <f>(MRB_die_D*$F21)+(MRB_benz_D*$G21)</f>
        <v>0</v>
      </c>
      <c r="AA21" s="323">
        <f>($D21*F21*(verbr_die_D/100)*prijs_die)+($D21*G21*(verbr_benz_D/100)*prijs_benz)</f>
        <v>0</v>
      </c>
      <c r="AB21" s="323">
        <f>($D21*F21*Onderh_die_D)+($D21*G21*Onderh_benz_D)</f>
        <v>0</v>
      </c>
      <c r="AC21" s="323">
        <f>Rest_perc*SUM(N21:O21)</f>
        <v>0</v>
      </c>
      <c r="AD21" s="325">
        <f>Rest_perc*SUM(N21:P21)</f>
        <v>0</v>
      </c>
      <c r="AE21" s="323">
        <f>IF(BTW_verrekening="Ja",((N21+O21)-AC21)/(looptijd*12),((N21+O21+P21)-AD21)/(looptijd*12))</f>
        <v>0</v>
      </c>
      <c r="AG21" s="323">
        <f>(J21*verz_die_D)+(K21*verz_benz_D)+(L21*verz_BEV_D)</f>
        <v>0</v>
      </c>
      <c r="AH21" s="323">
        <f>(MRB_die_D*J21)+(MRB_benz_D*K21)+(MRB_BEV*L21)</f>
        <v>0</v>
      </c>
      <c r="AI21" s="323">
        <f>($D21*J21*(verbr_die_D/100)*prijs_die)+($D21*K21*(verbr_benz_D/100)*prijs_benz)+($D21*L21*(verbr_BEV_D/100)*prijs_elek_berekening)</f>
        <v>0</v>
      </c>
      <c r="AJ21" s="323">
        <f>Rest_perc*SUM(S21:T21)</f>
        <v>0</v>
      </c>
      <c r="AK21" s="323">
        <f>Rest_perc*SUM(S21:U21)</f>
        <v>0</v>
      </c>
      <c r="AL21" s="323">
        <f>($D21*J21*Onderh_die_D)+($D21*K21*Onderh_benz_D)+($D21*L21*Onderh_BEV_D)</f>
        <v>0</v>
      </c>
      <c r="AM21" s="323">
        <f>IF(BTW_verrekening="Ja",((S21+T21-W21)-AJ21)/(looptijd*12),((S21+T21+U21)-AK21)/(looptijd*12))</f>
        <v>0</v>
      </c>
      <c r="AO21" s="326">
        <f>(Efac_die_TTW*(verbr_die_D/100)*$D21*F21)+(Efac_benz_TTW*(verbr_benz_D/100)*$D21*G21)</f>
        <v>0</v>
      </c>
      <c r="AP21" s="326">
        <f>(Efac_die_WTW*(verbr_die_D/100)*$D21*F21)+(Efac_benz_WTW*(verbr_benz_D/100)*$D21*G21)</f>
        <v>0</v>
      </c>
      <c r="AR21" s="326">
        <f>(Efac_die_TTW*(verbr_die_D/100)*$D21*J21)+(Efac_benz_TTW*(verbr_benz_D/100)*$D21*K21)+(Efac_elek_berekening_TTW*(verbr_BEV_D/100)*$D21*L21)</f>
        <v>0</v>
      </c>
      <c r="AS21" s="326">
        <f>(Efac_die_WTW*(verbr_die_D/100)*$D21*J21)+(Efac_benz_WTW*(verbr_benz_D/100)*$D21*K21)+(Efac_elek_berekening_WTW*(verbr_BEV_D/100)*$D21*L21)</f>
        <v>0</v>
      </c>
    </row>
    <row r="22" spans="1:45" ht="16.149999999999999" customHeight="1">
      <c r="A22" s="327"/>
      <c r="C22" s="322"/>
      <c r="D22" s="322"/>
      <c r="E22" s="322"/>
      <c r="F22" s="322"/>
      <c r="G22" s="322"/>
      <c r="H22" s="322"/>
      <c r="I22" s="322"/>
      <c r="J22" s="322"/>
      <c r="K22" s="322"/>
      <c r="L22" s="322"/>
      <c r="P22" s="324"/>
      <c r="Q22" s="324"/>
      <c r="U22" s="323"/>
      <c r="V22" s="323"/>
      <c r="W22" s="323"/>
      <c r="AC22" s="323"/>
      <c r="AD22" s="325"/>
      <c r="AE22" s="323"/>
      <c r="AG22" s="323"/>
      <c r="AJ22" s="323"/>
      <c r="AK22" s="323"/>
      <c r="AM22" s="323"/>
    </row>
    <row r="23" spans="1:45" ht="16.149999999999999" customHeight="1">
      <c r="A23" s="327">
        <v>17</v>
      </c>
      <c r="B23" s="319" t="s">
        <v>26</v>
      </c>
      <c r="C23" s="319">
        <v>10000</v>
      </c>
      <c r="D23" s="319">
        <f>$D$3</f>
        <v>10000</v>
      </c>
      <c r="E23" s="322">
        <f t="shared" si="3"/>
        <v>0</v>
      </c>
      <c r="F23" s="322">
        <f t="array" ref="F23:F26">TRANSPOSE('1. Invoer wagenpark'!H8:K8)</f>
        <v>0</v>
      </c>
      <c r="G23" s="322">
        <f t="array" ref="G23:G26">TRANSPOSE('1. Invoer wagenpark'!D8:G8)</f>
        <v>0</v>
      </c>
      <c r="H23" s="322"/>
      <c r="I23" s="322">
        <f>SUM(J23:L23)</f>
        <v>0</v>
      </c>
      <c r="J23" s="322">
        <v>0</v>
      </c>
      <c r="K23" s="322">
        <v>0</v>
      </c>
      <c r="L23" s="322">
        <f>E23</f>
        <v>0</v>
      </c>
      <c r="N23" s="323">
        <f>(Netto_cat_die_E*F23)+(Netto_cat_benz_E*G23)</f>
        <v>0</v>
      </c>
      <c r="O23" s="323">
        <f>(BPM_die_E*F23)+(BPM_benz_E*G23)</f>
        <v>0</v>
      </c>
      <c r="P23" s="324">
        <f>BTW*N23</f>
        <v>0</v>
      </c>
      <c r="Q23" s="324">
        <f t="shared" si="5"/>
        <v>0</v>
      </c>
      <c r="S23" s="323">
        <f>(Netto_cat_die_E*J23)+(Netto_cat_benz_E*K23)+(Netto_cat_BEV_E*L23)</f>
        <v>0</v>
      </c>
      <c r="T23" s="323">
        <f>(BPM_die_E*J23)+(BPM_benz_E*K23)+(BPM_BEV*L23)</f>
        <v>0</v>
      </c>
      <c r="U23" s="323">
        <f>BTW*S23</f>
        <v>0</v>
      </c>
      <c r="V23" s="323">
        <f t="shared" si="6"/>
        <v>0</v>
      </c>
      <c r="W23" s="323">
        <f>IF('2. Invoer parameters'!$C$10="ja",MIA_BEV_A*L23,0)</f>
        <v>0</v>
      </c>
      <c r="Y23" s="323">
        <f>(F23*verz_die_E)+(G23*verz_benz_E)</f>
        <v>0</v>
      </c>
      <c r="Z23" s="323">
        <f>(MRB_die_E*$F23)+(MRB_benz_E*$G23)</f>
        <v>0</v>
      </c>
      <c r="AA23" s="323">
        <f>($D23*F23*(verbr_die_E/100)*prijs_die)+($D23*G23*(verbr_benz_E/100)*prijs_benz)</f>
        <v>0</v>
      </c>
      <c r="AB23" s="323">
        <f>($D23*F23*Onderh_die_E)+($D23*G23*Onderh_benz_E)</f>
        <v>0</v>
      </c>
      <c r="AC23" s="323">
        <f>Rest_perc*SUM(N23:O23)</f>
        <v>0</v>
      </c>
      <c r="AD23" s="325">
        <f>Rest_perc*SUM(N23:P23)</f>
        <v>0</v>
      </c>
      <c r="AE23" s="323">
        <f>IF(BTW_verrekening="Ja",((N23+O23)-AC23)/(looptijd*12),((N23+O23+P23)-AD23)/(looptijd*12))</f>
        <v>0</v>
      </c>
      <c r="AG23" s="323">
        <f>(J23*verz_die_E)+(K23*verz_benz_E)+(L23*verz_BEV_E)</f>
        <v>0</v>
      </c>
      <c r="AH23" s="323">
        <f>(MRB_die_E*J23)+(MRB_benz_E*K23)+(MRB_BEV*L23)</f>
        <v>0</v>
      </c>
      <c r="AI23" s="323">
        <f>($D23*J23*(verbr_die_E/100)*prijs_die)+($D23*K23*(verbr_benz_E/100)*prijs_benz)+($D23*L23*(verbr_BEV_E/100)*prijs_elek_berekening)</f>
        <v>0</v>
      </c>
      <c r="AJ23" s="323">
        <f>Rest_perc*SUM(S23:T23)</f>
        <v>0</v>
      </c>
      <c r="AK23" s="323">
        <f>Rest_perc*SUM(S23:U23)</f>
        <v>0</v>
      </c>
      <c r="AL23" s="323">
        <f>($D23*J23*Onderh_die_E)+($D23*K23*Onderh_benz_E)+($D23*L23*Onderh_BEV_E)</f>
        <v>0</v>
      </c>
      <c r="AM23" s="323">
        <f>IF(BTW_verrekening="Ja",((S23+T23-W23)-AJ23)/(looptijd*12),((S23+T23+U23)-AK23)/(looptijd*12))</f>
        <v>0</v>
      </c>
      <c r="AO23" s="326">
        <f>(Efac_die_TTW*(verbr_die_E/100)*$D23*F23)+(Efac_benz_TTW*(verbr_benz_E/100)*$D23*G23)</f>
        <v>0</v>
      </c>
      <c r="AP23" s="326">
        <f>(Efac_die_WTW*(verbr_die_E/100)*$D23*F23)+(Efac_benz_WTW*(verbr_benz_E/100)*$D23*G23)</f>
        <v>0</v>
      </c>
      <c r="AR23" s="326">
        <f>(Efac_die_TTW*(verbr_die_E/100)*$D23*J23)+(Efac_benz_TTW*(verbr_benz_E/100)*$D23*K23)+(Efac_elek_berekening_TTW*(verbr_BEV_E/100)*$D23*L23)</f>
        <v>0</v>
      </c>
      <c r="AS23" s="326">
        <f>(Efac_die_WTW*(verbr_die_E/100)*$D23*J23)+(Efac_benz_WTW*(verbr_benz_E/100)*$D23*K23)+(Efac_elek_berekening_WTW*(verbr_BEV_E/100)*$D23*L23)</f>
        <v>0</v>
      </c>
    </row>
    <row r="24" spans="1:45" ht="16.149999999999999" customHeight="1">
      <c r="A24" s="327">
        <v>18</v>
      </c>
      <c r="B24" s="319" t="s">
        <v>26</v>
      </c>
      <c r="C24" s="319">
        <v>20000</v>
      </c>
      <c r="D24" s="319">
        <f>$D$4</f>
        <v>20000</v>
      </c>
      <c r="E24" s="322">
        <f t="shared" si="3"/>
        <v>0</v>
      </c>
      <c r="F24" s="322">
        <v>0</v>
      </c>
      <c r="G24" s="322">
        <v>0</v>
      </c>
      <c r="H24" s="322"/>
      <c r="I24" s="322">
        <f t="shared" ref="I24:I26" si="13">SUM(J24:L24)</f>
        <v>0</v>
      </c>
      <c r="J24" s="322">
        <v>0</v>
      </c>
      <c r="K24" s="322">
        <v>0</v>
      </c>
      <c r="L24" s="322">
        <f t="shared" ref="L24:L26" si="14">E24</f>
        <v>0</v>
      </c>
      <c r="N24" s="323">
        <f>(Netto_cat_die_E*F24)+(Netto_cat_benz_E*G24)</f>
        <v>0</v>
      </c>
      <c r="O24" s="323">
        <f>(BPM_die_E*F24)+(BPM_benz_E*G24)</f>
        <v>0</v>
      </c>
      <c r="P24" s="324">
        <f>BTW*N24</f>
        <v>0</v>
      </c>
      <c r="Q24" s="324">
        <f t="shared" si="5"/>
        <v>0</v>
      </c>
      <c r="S24" s="323">
        <f>(Netto_cat_die_E*J24)+(Netto_cat_benz_E*K24)+(Netto_cat_BEV_E*L24)</f>
        <v>0</v>
      </c>
      <c r="T24" s="323">
        <f>(BPM_die_E*J24)+(BPM_benz_E*K24)+(BPM_BEV*L24)</f>
        <v>0</v>
      </c>
      <c r="U24" s="323">
        <f>BTW*S24</f>
        <v>0</v>
      </c>
      <c r="V24" s="323">
        <f t="shared" si="6"/>
        <v>0</v>
      </c>
      <c r="W24" s="323">
        <f>IF('2. Invoer parameters'!$C$10="ja",MIA_BEV_A*L24,0)</f>
        <v>0</v>
      </c>
      <c r="Y24" s="323">
        <f>(F24*verz_die_E)+(G24*verz_benz_E)</f>
        <v>0</v>
      </c>
      <c r="Z24" s="323">
        <f>(MRB_die_E*$F24)+(MRB_benz_E*$G24)</f>
        <v>0</v>
      </c>
      <c r="AA24" s="323">
        <f>($D24*F24*(verbr_die_E/100)*prijs_die)+($D24*G24*(verbr_benz_E/100)*prijs_benz)</f>
        <v>0</v>
      </c>
      <c r="AB24" s="323">
        <f>($D24*F24*Onderh_die_E)+($D24*G24*Onderh_benz_E)</f>
        <v>0</v>
      </c>
      <c r="AC24" s="323">
        <f>Rest_perc*SUM(N24:O24)</f>
        <v>0</v>
      </c>
      <c r="AD24" s="325">
        <f>Rest_perc*SUM(N24:P24)</f>
        <v>0</v>
      </c>
      <c r="AE24" s="323">
        <f>IF(BTW_verrekening="Ja",((N24+O24)-AC24)/(looptijd*12),((N24+O24+P24)-AD24)/(looptijd*12))</f>
        <v>0</v>
      </c>
      <c r="AG24" s="323">
        <f>(J24*verz_die_E)+(K24*verz_benz_E)+(L24*verz_BEV_E)</f>
        <v>0</v>
      </c>
      <c r="AH24" s="323">
        <f>(MRB_die_E*J24)+(MRB_benz_E*K24)+(MRB_BEV*L24)</f>
        <v>0</v>
      </c>
      <c r="AI24" s="323">
        <f>($D24*J24*(verbr_die_E/100)*prijs_die)+($D24*K24*(verbr_benz_E/100)*prijs_benz)+($D24*L24*(verbr_BEV_E/100)*prijs_elek_berekening)</f>
        <v>0</v>
      </c>
      <c r="AJ24" s="323">
        <f>Rest_perc*SUM(S24:T24)</f>
        <v>0</v>
      </c>
      <c r="AK24" s="323">
        <f>Rest_perc*SUM(S24:U24)</f>
        <v>0</v>
      </c>
      <c r="AL24" s="323">
        <f>($D24*J24*Onderh_die_E)+($D24*K24*Onderh_benz_E)+($D24*L24*Onderh_BEV_E)</f>
        <v>0</v>
      </c>
      <c r="AM24" s="323">
        <f>IF(BTW_verrekening="Ja",((S24+T24-W24)-AJ24)/(looptijd*12),((S24+T24+U24)-AK24)/(looptijd*12))</f>
        <v>0</v>
      </c>
      <c r="AO24" s="326">
        <f>(Efac_die_TTW*(verbr_die_E/100)*$D24*F24)+(Efac_benz_TTW*(verbr_benz_E/100)*$D24*G24)</f>
        <v>0</v>
      </c>
      <c r="AP24" s="326">
        <f>(Efac_die_WTW*(verbr_die_E/100)*$D24*F24)+(Efac_benz_WTW*(verbr_benz_E/100)*$D24*G24)</f>
        <v>0</v>
      </c>
      <c r="AR24" s="326">
        <f>(Efac_die_TTW*(verbr_die_E/100)*$D24*J24)+(Efac_benz_TTW*(verbr_benz_E/100)*$D24*K24)+(Efac_elek_berekening_TTW*(verbr_BEV_E/100)*$D24*L24)</f>
        <v>0</v>
      </c>
      <c r="AS24" s="326">
        <f>(Efac_die_WTW*(verbr_die_E/100)*$D24*J24)+(Efac_benz_WTW*(verbr_benz_E/100)*$D24*K24)+(Efac_elek_berekening_WTW*(verbr_BEV_E/100)*$D24*L24)</f>
        <v>0</v>
      </c>
    </row>
    <row r="25" spans="1:45" ht="16.149999999999999" customHeight="1">
      <c r="A25" s="327">
        <v>19</v>
      </c>
      <c r="B25" s="319" t="s">
        <v>26</v>
      </c>
      <c r="C25" s="319">
        <v>30000</v>
      </c>
      <c r="D25" s="319">
        <f>$D$5</f>
        <v>30000</v>
      </c>
      <c r="E25" s="322">
        <f t="shared" si="3"/>
        <v>0</v>
      </c>
      <c r="F25" s="322">
        <v>0</v>
      </c>
      <c r="G25" s="322">
        <v>0</v>
      </c>
      <c r="H25" s="322"/>
      <c r="I25" s="322">
        <f t="shared" si="13"/>
        <v>0</v>
      </c>
      <c r="J25" s="322">
        <v>0</v>
      </c>
      <c r="K25" s="322">
        <v>0</v>
      </c>
      <c r="L25" s="322">
        <f t="shared" si="14"/>
        <v>0</v>
      </c>
      <c r="N25" s="323">
        <f>(Netto_cat_die_E*F25)+(Netto_cat_benz_E*G25)</f>
        <v>0</v>
      </c>
      <c r="O25" s="323">
        <f>(BPM_die_E*F25)+(BPM_benz_E*G25)</f>
        <v>0</v>
      </c>
      <c r="P25" s="324">
        <f>BTW*N25</f>
        <v>0</v>
      </c>
      <c r="Q25" s="324">
        <f t="shared" si="5"/>
        <v>0</v>
      </c>
      <c r="S25" s="323">
        <f>(Netto_cat_die_E*J25)+(Netto_cat_benz_E*K25)+(Netto_cat_BEV_E*L25)</f>
        <v>0</v>
      </c>
      <c r="T25" s="323">
        <f>(BPM_die_E*J25)+(BPM_benz_E*K25)+(BPM_BEV*L25)</f>
        <v>0</v>
      </c>
      <c r="U25" s="323">
        <f>BTW*S25</f>
        <v>0</v>
      </c>
      <c r="V25" s="323">
        <f t="shared" si="6"/>
        <v>0</v>
      </c>
      <c r="W25" s="323">
        <f>IF('2. Invoer parameters'!$C$10="ja",MIA_BEV_A*L25,0)</f>
        <v>0</v>
      </c>
      <c r="Y25" s="323">
        <f>(F25*verz_die_E)+(G25*verz_benz_E)</f>
        <v>0</v>
      </c>
      <c r="Z25" s="323">
        <f>(MRB_die_E*$F25)+(MRB_benz_E*$G25)</f>
        <v>0</v>
      </c>
      <c r="AA25" s="323">
        <f>($D25*F25*(verbr_die_E/100)*prijs_die)+($D25*G25*(verbr_benz_E/100)*prijs_benz)</f>
        <v>0</v>
      </c>
      <c r="AB25" s="323">
        <f>($D25*F25*Onderh_die_E)+($D25*G25*Onderh_benz_E)</f>
        <v>0</v>
      </c>
      <c r="AC25" s="323">
        <f>Rest_perc*SUM(N25:O25)</f>
        <v>0</v>
      </c>
      <c r="AD25" s="325">
        <f>Rest_perc*SUM(N25:P25)</f>
        <v>0</v>
      </c>
      <c r="AE25" s="323">
        <f>IF(BTW_verrekening="Ja",((N25+O25)-AC25)/(looptijd*12),((N25+O25+P25)-AD25)/(looptijd*12))</f>
        <v>0</v>
      </c>
      <c r="AG25" s="323">
        <f>(J25*verz_die_E)+(K25*verz_benz_E)+(L25*verz_BEV_E)</f>
        <v>0</v>
      </c>
      <c r="AH25" s="323">
        <f>(MRB_die_E*J25)+(MRB_benz_E*K25)+(MRB_BEV*L25)</f>
        <v>0</v>
      </c>
      <c r="AI25" s="323">
        <f>($D25*J25*(verbr_die_E/100)*prijs_die)+($D25*K25*(verbr_benz_E/100)*prijs_benz)+($D25*L25*(verbr_BEV_E/100)*prijs_elek_berekening)</f>
        <v>0</v>
      </c>
      <c r="AJ25" s="323">
        <f>Rest_perc*SUM(S25:T25)</f>
        <v>0</v>
      </c>
      <c r="AK25" s="323">
        <f>Rest_perc*SUM(S25:U25)</f>
        <v>0</v>
      </c>
      <c r="AL25" s="323">
        <f>($D25*J25*Onderh_die_E)+($D25*K25*Onderh_benz_E)+($D25*L25*Onderh_BEV_E)</f>
        <v>0</v>
      </c>
      <c r="AM25" s="323">
        <f>IF(BTW_verrekening="Ja",((S25+T25-W25)-AJ25)/(looptijd*12),((S25+T25+U25)-AK25)/(looptijd*12))</f>
        <v>0</v>
      </c>
      <c r="AO25" s="326">
        <f>(Efac_die_TTW*(verbr_die_E/100)*$D25*F25)+(Efac_benz_TTW*(verbr_benz_E/100)*$D25*G25)</f>
        <v>0</v>
      </c>
      <c r="AP25" s="326">
        <f>(Efac_die_WTW*(verbr_die_E/100)*$D25*F25)+(Efac_benz_WTW*(verbr_benz_E/100)*$D25*G25)</f>
        <v>0</v>
      </c>
      <c r="AR25" s="326">
        <f>(Efac_die_TTW*(verbr_die_E/100)*$D25*J25)+(Efac_benz_TTW*(verbr_benz_E/100)*$D25*K25)+(Efac_elek_berekening_TTW*(verbr_BEV_E/100)*$D25*L25)</f>
        <v>0</v>
      </c>
      <c r="AS25" s="326">
        <f>(Efac_die_WTW*(verbr_die_E/100)*$D25*J25)+(Efac_benz_WTW*(verbr_benz_E/100)*$D25*K25)+(Efac_elek_berekening_WTW*(verbr_BEV_E/100)*$D25*L25)</f>
        <v>0</v>
      </c>
    </row>
    <row r="26" spans="1:45" ht="16.149999999999999" customHeight="1">
      <c r="A26" s="327">
        <v>20</v>
      </c>
      <c r="B26" s="319" t="s">
        <v>26</v>
      </c>
      <c r="C26" s="322" t="s">
        <v>396</v>
      </c>
      <c r="D26" s="319">
        <f>$D$6</f>
        <v>40000</v>
      </c>
      <c r="E26" s="322">
        <f t="shared" si="3"/>
        <v>0</v>
      </c>
      <c r="F26" s="322">
        <v>0</v>
      </c>
      <c r="G26" s="322">
        <v>0</v>
      </c>
      <c r="H26" s="322"/>
      <c r="I26" s="322">
        <f t="shared" si="13"/>
        <v>0</v>
      </c>
      <c r="J26" s="322">
        <v>0</v>
      </c>
      <c r="K26" s="322">
        <v>0</v>
      </c>
      <c r="L26" s="322">
        <f t="shared" si="14"/>
        <v>0</v>
      </c>
      <c r="N26" s="323">
        <f>(Netto_cat_die_E*F26)+(Netto_cat_benz_E*G26)</f>
        <v>0</v>
      </c>
      <c r="O26" s="323">
        <f>(BPM_die_E*F26)+(BPM_benz_E*G26)</f>
        <v>0</v>
      </c>
      <c r="P26" s="324">
        <f>BTW*N26</f>
        <v>0</v>
      </c>
      <c r="Q26" s="324">
        <f t="shared" si="5"/>
        <v>0</v>
      </c>
      <c r="S26" s="323">
        <f>(Netto_cat_die_E*J26)+(Netto_cat_benz_E*K26)+(Netto_cat_BEV_E*L26)</f>
        <v>0</v>
      </c>
      <c r="T26" s="323">
        <f>(BPM_die_E*J26)+(BPM_benz_E*K26)+(BPM_BEV*L26)</f>
        <v>0</v>
      </c>
      <c r="U26" s="323">
        <f>BTW*S26</f>
        <v>0</v>
      </c>
      <c r="V26" s="323">
        <f t="shared" si="6"/>
        <v>0</v>
      </c>
      <c r="W26" s="323">
        <f>IF('2. Invoer parameters'!$C$10="ja",MIA_BEV_A*L26,0)</f>
        <v>0</v>
      </c>
      <c r="Y26" s="323">
        <f>(F26*verz_die_E)+(G26*verz_benz_E)</f>
        <v>0</v>
      </c>
      <c r="Z26" s="323">
        <f>(MRB_die_E*$F26)+(MRB_benz_E*$G26)</f>
        <v>0</v>
      </c>
      <c r="AA26" s="323">
        <f>($D26*F26*(verbr_die_E/100)*prijs_die)+($D26*G26*(verbr_benz_E/100)*prijs_benz)</f>
        <v>0</v>
      </c>
      <c r="AB26" s="323">
        <f>($D26*F26*Onderh_die_E)+($D26*G26*Onderh_benz_E)</f>
        <v>0</v>
      </c>
      <c r="AC26" s="323">
        <f>Rest_perc*SUM(N26:O26)</f>
        <v>0</v>
      </c>
      <c r="AD26" s="325">
        <f>Rest_perc*SUM(N26:P26)</f>
        <v>0</v>
      </c>
      <c r="AE26" s="323">
        <f>IF(BTW_verrekening="Ja",((N26+O26)-AC26)/(looptijd*12),((N26+O26+P26)-AD26)/(looptijd*12))</f>
        <v>0</v>
      </c>
      <c r="AG26" s="323">
        <f>(J26*verz_die_E)+(K26*verz_benz_E)+(L26*verz_BEV_E)</f>
        <v>0</v>
      </c>
      <c r="AH26" s="323">
        <f>(MRB_die_E*J26)+(MRB_benz_E*K26)+(MRB_BEV*L26)</f>
        <v>0</v>
      </c>
      <c r="AI26" s="323">
        <f>($D26*J26*(verbr_die_E/100)*prijs_die)+($D26*K26*(verbr_benz_E/100)*prijs_benz)+($D26*L26*(verbr_BEV_E/100)*prijs_elek_berekening)</f>
        <v>0</v>
      </c>
      <c r="AJ26" s="323">
        <f>Rest_perc*SUM(S26:T26)</f>
        <v>0</v>
      </c>
      <c r="AK26" s="323">
        <f>Rest_perc*SUM(S26:U26)</f>
        <v>0</v>
      </c>
      <c r="AL26" s="323">
        <f>($D26*J26*Onderh_die_E)+($D26*K26*Onderh_benz_E)+($D26*L26*Onderh_BEV_E)</f>
        <v>0</v>
      </c>
      <c r="AM26" s="323">
        <f>IF(BTW_verrekening="Ja",((S26+T26-W26)-AJ26)/(looptijd*12),((S26+T26+U26)-AK26)/(looptijd*12))</f>
        <v>0</v>
      </c>
      <c r="AO26" s="326">
        <f>(Efac_die_TTW*(verbr_die_E/100)*$D26*F26)+(Efac_benz_TTW*(verbr_benz_E/100)*$D26*G26)</f>
        <v>0</v>
      </c>
      <c r="AP26" s="326">
        <f>(Efac_die_WTW*(verbr_die_E/100)*$D26*F26)+(Efac_benz_WTW*(verbr_benz_E/100)*$D26*G26)</f>
        <v>0</v>
      </c>
      <c r="AR26" s="326">
        <f>(Efac_die_TTW*(verbr_die_E/100)*$D26*J26)+(Efac_benz_TTW*(verbr_benz_E/100)*$D26*K26)+(Efac_elek_berekening_TTW*(verbr_BEV_E/100)*$D26*L26)</f>
        <v>0</v>
      </c>
      <c r="AS26" s="326">
        <f>(Efac_die_WTW*(verbr_die_E/100)*$D26*J26)+(Efac_benz_WTW*(verbr_benz_E/100)*$D26*K26)+(Efac_elek_berekening_WTW*(verbr_BEV_E/100)*$D26*L26)</f>
        <v>0</v>
      </c>
    </row>
    <row r="27" spans="1:45" ht="16.149999999999999" customHeight="1">
      <c r="A27" s="327"/>
      <c r="C27" s="322"/>
      <c r="D27" s="322"/>
      <c r="E27" s="322"/>
      <c r="F27" s="322"/>
      <c r="G27" s="322"/>
      <c r="H27" s="322"/>
      <c r="I27" s="322"/>
      <c r="J27" s="322"/>
      <c r="K27" s="322"/>
      <c r="L27" s="322"/>
      <c r="P27" s="324"/>
      <c r="Q27" s="324"/>
      <c r="U27" s="323"/>
      <c r="V27" s="323"/>
      <c r="W27" s="323"/>
      <c r="AC27" s="323"/>
      <c r="AD27" s="325"/>
      <c r="AE27" s="323"/>
      <c r="AG27" s="323"/>
      <c r="AJ27" s="323"/>
      <c r="AK27" s="323"/>
      <c r="AM27" s="323"/>
    </row>
    <row r="28" spans="1:45" ht="16.149999999999999" customHeight="1">
      <c r="A28" s="327">
        <v>21</v>
      </c>
      <c r="B28" s="319" t="s">
        <v>30</v>
      </c>
      <c r="C28" s="319">
        <v>10000</v>
      </c>
      <c r="D28" s="319">
        <f>$D$3</f>
        <v>10000</v>
      </c>
      <c r="E28" s="322">
        <f t="shared" si="3"/>
        <v>0</v>
      </c>
      <c r="F28" s="322">
        <f t="array" ref="F28:F31">TRANSPOSE('1. Invoer wagenpark'!H9:K9)</f>
        <v>0</v>
      </c>
      <c r="G28" s="322">
        <f t="array" ref="G28:G31">TRANSPOSE('1. Invoer wagenpark'!D9:G9)</f>
        <v>0</v>
      </c>
      <c r="H28" s="322"/>
      <c r="I28" s="322">
        <f>SUM(J28:L28)</f>
        <v>0</v>
      </c>
      <c r="J28" s="322">
        <v>0</v>
      </c>
      <c r="K28" s="322">
        <v>0</v>
      </c>
      <c r="L28" s="322">
        <f>E28</f>
        <v>0</v>
      </c>
      <c r="N28" s="323">
        <f>(Netto_cat_die_F*F28)+(Netto_cat_benz_F*G28)</f>
        <v>0</v>
      </c>
      <c r="O28" s="323">
        <f>(BPM_die_F*F28)+(BPM_benz_F*G28)</f>
        <v>0</v>
      </c>
      <c r="P28" s="324">
        <f>BTW*N28</f>
        <v>0</v>
      </c>
      <c r="Q28" s="324">
        <f t="shared" si="5"/>
        <v>0</v>
      </c>
      <c r="S28" s="323">
        <f>(Netto_cat_die_F*J28)+(Netto_cat_benz_F*K28)+(Netto_cat_BEV_F*L28)</f>
        <v>0</v>
      </c>
      <c r="T28" s="323">
        <f>(BPM_die_F*J28)+(BPM_benz_F*K28)+(BPM_BEV*L28)</f>
        <v>0</v>
      </c>
      <c r="U28" s="323">
        <f>BTW*S28</f>
        <v>0</v>
      </c>
      <c r="V28" s="323">
        <f t="shared" si="6"/>
        <v>0</v>
      </c>
      <c r="W28" s="323">
        <f>IF('2. Invoer parameters'!$C$10="ja",MIA_BEV_A*L28,0)</f>
        <v>0</v>
      </c>
      <c r="Y28" s="323">
        <f>(F28*verz_die_F)+(G28*verz_benz_F)</f>
        <v>0</v>
      </c>
      <c r="Z28" s="323">
        <f>(MRB_die_F*$F28)+(MRB_benz_F*$G28)</f>
        <v>0</v>
      </c>
      <c r="AA28" s="323">
        <f>($D28*F28*(verbr_die_F/100)*prijs_die)+($D28*G28*(verbr_benz_F/100)*prijs_benz)</f>
        <v>0</v>
      </c>
      <c r="AB28" s="323">
        <f>($D28*F28*Onderh_die_F)+($D28*G28*Onderh_benz_F)</f>
        <v>0</v>
      </c>
      <c r="AC28" s="323">
        <f>Rest_perc*SUM(N28:O28)</f>
        <v>0</v>
      </c>
      <c r="AD28" s="325">
        <f>Rest_perc*SUM(N28:P28)</f>
        <v>0</v>
      </c>
      <c r="AE28" s="323">
        <f>IF(BTW_verrekening="Ja",((N28+O28)-AC28)/(looptijd*12),((N28+O28+P28)-AD28)/(looptijd*12))</f>
        <v>0</v>
      </c>
      <c r="AG28" s="323">
        <f>(J28*verz_die_F)+(K28*verz_benz_F)+(L28*verz_BEV_F)</f>
        <v>0</v>
      </c>
      <c r="AH28" s="323">
        <f>(MRB_die_F*J28)+(MRB_benz_F*K28)+(MRB_BEV*L28)</f>
        <v>0</v>
      </c>
      <c r="AI28" s="323">
        <f>($D28*J28*(verbr_die_F/100)*prijs_die)+($D28*K28*(verbr_benz_F/100)*prijs_benz)+($D28*L28*(verbr_BEV_F/100)*prijs_elek_berekening)</f>
        <v>0</v>
      </c>
      <c r="AJ28" s="323">
        <f>Rest_perc*SUM(S28:T28)</f>
        <v>0</v>
      </c>
      <c r="AK28" s="323">
        <f>Rest_perc*SUM(S28:U28)</f>
        <v>0</v>
      </c>
      <c r="AL28" s="323">
        <f>($D28*J28*Onderh_die_F)+($D28*K28*Onderh_benz_F)+($D28*L28*Onderh_BEV_F)</f>
        <v>0</v>
      </c>
      <c r="AM28" s="323">
        <f>IF(BTW_verrekening="Ja",((S28+T28-W28)-AJ28)/(looptijd*12),((S28+T28+U28)-AK28)/(looptijd*12))</f>
        <v>0</v>
      </c>
      <c r="AO28" s="326">
        <f>(Efac_die_TTW*(verbr_die_F/100)*$D28*F28)+(Efac_benz_TTW*(verbr_benz_F/100)*$D28*G28)</f>
        <v>0</v>
      </c>
      <c r="AP28" s="326">
        <f>(Efac_die_WTW*(verbr_die_F/100)*$D28*F28)+(Efac_benz_WTW*(verbr_benz_F/100)*$D28*G28)</f>
        <v>0</v>
      </c>
      <c r="AR28" s="326">
        <f>(Efac_die_TTW*(verbr_die_F/100)*$D28*J28)+(Efac_benz_TTW*(verbr_benz_F/100)*$D28*K28)+(Efac_elek_berekening_TTW*(verbr_BEV_F/100)*$D28*L28)</f>
        <v>0</v>
      </c>
      <c r="AS28" s="326">
        <f>(Efac_die_WTW*(verbr_die_F/100)*$D28*J28)+(Efac_benz_WTW*(verbr_benz_F/100)*$D28*K28)+(Efac_elek_berekening_WTW*(verbr_BEV_F/100)*$D28*L28)</f>
        <v>0</v>
      </c>
    </row>
    <row r="29" spans="1:45" ht="16.149999999999999" customHeight="1">
      <c r="A29" s="327">
        <v>22</v>
      </c>
      <c r="B29" s="319" t="s">
        <v>30</v>
      </c>
      <c r="C29" s="319">
        <v>20000</v>
      </c>
      <c r="D29" s="319">
        <f>$D$4</f>
        <v>20000</v>
      </c>
      <c r="E29" s="322">
        <f t="shared" si="3"/>
        <v>0</v>
      </c>
      <c r="F29" s="322">
        <v>0</v>
      </c>
      <c r="G29" s="322">
        <v>0</v>
      </c>
      <c r="H29" s="322"/>
      <c r="I29" s="322">
        <f t="shared" ref="I29:I31" si="15">SUM(J29:L29)</f>
        <v>0</v>
      </c>
      <c r="J29" s="322">
        <v>0</v>
      </c>
      <c r="K29" s="322">
        <v>0</v>
      </c>
      <c r="L29" s="322">
        <f t="shared" ref="L29:L31" si="16">E29</f>
        <v>0</v>
      </c>
      <c r="N29" s="323">
        <f>(Netto_cat_die_F*F29)+(Netto_cat_benz_F*G29)</f>
        <v>0</v>
      </c>
      <c r="O29" s="323">
        <f>(BPM_die_F*F29)+(BPM_benz_F*G29)</f>
        <v>0</v>
      </c>
      <c r="P29" s="324">
        <f>BTW*N29</f>
        <v>0</v>
      </c>
      <c r="Q29" s="324">
        <f t="shared" si="5"/>
        <v>0</v>
      </c>
      <c r="S29" s="323">
        <f>(Netto_cat_die_F*J29)+(Netto_cat_benz_F*K29)+(Netto_cat_BEV_F*L29)</f>
        <v>0</v>
      </c>
      <c r="T29" s="323">
        <f>(BPM_die_F*J29)+(BPM_benz_F*K29)+(BPM_BEV*L29)</f>
        <v>0</v>
      </c>
      <c r="U29" s="323">
        <f>BTW*S29</f>
        <v>0</v>
      </c>
      <c r="V29" s="323">
        <f t="shared" si="6"/>
        <v>0</v>
      </c>
      <c r="W29" s="323">
        <f>IF('2. Invoer parameters'!$C$10="ja",MIA_BEV_A*L29,0)</f>
        <v>0</v>
      </c>
      <c r="Y29" s="323">
        <f>(F29*verz_die_F)+(G29*verz_benz_F)</f>
        <v>0</v>
      </c>
      <c r="Z29" s="323">
        <f>(MRB_die_F*$F29)+(MRB_benz_F*$G29)</f>
        <v>0</v>
      </c>
      <c r="AA29" s="323">
        <f>($D29*F29*(verbr_die_F/100)*prijs_die)+($D29*G29*(verbr_benz_F/100)*prijs_benz)</f>
        <v>0</v>
      </c>
      <c r="AB29" s="323">
        <f>($D29*F29*Onderh_die_F)+($D29*G29*Onderh_benz_F)</f>
        <v>0</v>
      </c>
      <c r="AC29" s="323">
        <f>Rest_perc*SUM(N29:O29)</f>
        <v>0</v>
      </c>
      <c r="AD29" s="325">
        <f>Rest_perc*SUM(N29:P29)</f>
        <v>0</v>
      </c>
      <c r="AE29" s="323">
        <f>IF(BTW_verrekening="Ja",((N29+O29)-AC29)/(looptijd*12),((N29+O29+P29)-AD29)/(looptijd*12))</f>
        <v>0</v>
      </c>
      <c r="AG29" s="323">
        <f>(J29*verz_die_F)+(K29*verz_benz_F)+(L29*verz_BEV_F)</f>
        <v>0</v>
      </c>
      <c r="AH29" s="323">
        <f>(MRB_die_F*J29)+(MRB_benz_F*K29)+(MRB_BEV*L29)</f>
        <v>0</v>
      </c>
      <c r="AI29" s="323">
        <f>($D29*J29*(verbr_die_F/100)*prijs_die)+($D29*K29*(verbr_benz_F/100)*prijs_benz)+($D29*L29*(verbr_BEV_F/100)*prijs_elek_berekening)</f>
        <v>0</v>
      </c>
      <c r="AJ29" s="323">
        <f>Rest_perc*SUM(S29:T29)</f>
        <v>0</v>
      </c>
      <c r="AK29" s="323">
        <f>Rest_perc*SUM(S29:U29)</f>
        <v>0</v>
      </c>
      <c r="AL29" s="323">
        <f>($D29*J29*Onderh_die_F)+($D29*K29*Onderh_benz_F)+($D29*L29*Onderh_BEV_F)</f>
        <v>0</v>
      </c>
      <c r="AM29" s="323">
        <f>IF(BTW_verrekening="Ja",((S29+T29-W29)-AJ29)/(looptijd*12),((S29+T29+U29)-AK29)/(looptijd*12))</f>
        <v>0</v>
      </c>
      <c r="AO29" s="326">
        <f>(Efac_die_TTW*(verbr_die_F/100)*$D29*F29)+(Efac_benz_TTW*(verbr_benz_F/100)*$D29*G29)</f>
        <v>0</v>
      </c>
      <c r="AP29" s="326">
        <f>(Efac_die_WTW*(verbr_die_F/100)*$D29*F29)+(Efac_benz_WTW*(verbr_benz_F/100)*$D29*G29)</f>
        <v>0</v>
      </c>
      <c r="AR29" s="326">
        <f>(Efac_die_TTW*(verbr_die_F/100)*$D29*J29)+(Efac_benz_TTW*(verbr_benz_F/100)*$D29*K29)+(Efac_elek_berekening_TTW*(verbr_BEV_F/100)*$D29*L29)</f>
        <v>0</v>
      </c>
      <c r="AS29" s="326">
        <f>(Efac_die_WTW*(verbr_die_F/100)*$D29*J29)+(Efac_benz_WTW*(verbr_benz_F/100)*$D29*K29)+(Efac_elek_berekening_WTW*(verbr_BEV_F/100)*$D29*L29)</f>
        <v>0</v>
      </c>
    </row>
    <row r="30" spans="1:45">
      <c r="A30" s="327">
        <v>23</v>
      </c>
      <c r="B30" s="319" t="s">
        <v>30</v>
      </c>
      <c r="C30" s="319">
        <v>30000</v>
      </c>
      <c r="D30" s="319">
        <f>$D$5</f>
        <v>30000</v>
      </c>
      <c r="E30" s="322">
        <f t="shared" si="3"/>
        <v>0</v>
      </c>
      <c r="F30" s="322">
        <v>0</v>
      </c>
      <c r="G30" s="322">
        <v>0</v>
      </c>
      <c r="H30" s="322"/>
      <c r="I30" s="322">
        <f t="shared" si="15"/>
        <v>0</v>
      </c>
      <c r="J30" s="322">
        <v>0</v>
      </c>
      <c r="K30" s="322">
        <v>0</v>
      </c>
      <c r="L30" s="322">
        <f t="shared" si="16"/>
        <v>0</v>
      </c>
      <c r="N30" s="323">
        <f>(Netto_cat_die_F*F30)+(Netto_cat_benz_F*G30)</f>
        <v>0</v>
      </c>
      <c r="O30" s="323">
        <f>(BPM_die_F*F30)+(BPM_benz_F*G30)</f>
        <v>0</v>
      </c>
      <c r="P30" s="324">
        <f>BTW*N30</f>
        <v>0</v>
      </c>
      <c r="Q30" s="324">
        <f t="shared" si="5"/>
        <v>0</v>
      </c>
      <c r="S30" s="323">
        <f>(Netto_cat_die_F*J30)+(Netto_cat_benz_F*K30)+(Netto_cat_BEV_F*L30)</f>
        <v>0</v>
      </c>
      <c r="T30" s="323">
        <f>(BPM_die_F*J30)+(BPM_benz_F*K30)+(BPM_BEV*L30)</f>
        <v>0</v>
      </c>
      <c r="U30" s="323">
        <f>BTW*S30</f>
        <v>0</v>
      </c>
      <c r="V30" s="323">
        <f t="shared" si="6"/>
        <v>0</v>
      </c>
      <c r="W30" s="323">
        <f>IF('2. Invoer parameters'!$C$10="ja",MIA_BEV_A*L30,0)</f>
        <v>0</v>
      </c>
      <c r="Y30" s="323">
        <f>(F30*verz_die_F)+(G30*verz_benz_F)</f>
        <v>0</v>
      </c>
      <c r="Z30" s="323">
        <f>(MRB_die_F*$F30)+(MRB_benz_F*$G30)</f>
        <v>0</v>
      </c>
      <c r="AA30" s="323">
        <f>($D30*F30*(verbr_die_F/100)*prijs_die)+($D30*G30*(verbr_benz_F/100)*prijs_benz)</f>
        <v>0</v>
      </c>
      <c r="AB30" s="323">
        <f>($D30*F30*Onderh_die_F)+($D30*G30*Onderh_benz_F)</f>
        <v>0</v>
      </c>
      <c r="AC30" s="323">
        <f>Rest_perc*SUM(N30:O30)</f>
        <v>0</v>
      </c>
      <c r="AD30" s="325">
        <f>Rest_perc*SUM(N30:P30)</f>
        <v>0</v>
      </c>
      <c r="AE30" s="323">
        <f>IF(BTW_verrekening="Ja",((N30+O30)-AC30)/(looptijd*12),((N30+O30+P30)-AD30)/(looptijd*12))</f>
        <v>0</v>
      </c>
      <c r="AG30" s="323">
        <f>(J30*verz_die_F)+(K30*verz_benz_F)+(L30*verz_BEV_F)</f>
        <v>0</v>
      </c>
      <c r="AH30" s="323">
        <f>(MRB_die_F*J30)+(MRB_benz_F*K30)+(MRB_BEV*L30)</f>
        <v>0</v>
      </c>
      <c r="AI30" s="323">
        <f>($D30*J30*(verbr_die_F/100)*prijs_die)+($D30*K30*(verbr_benz_F/100)*prijs_benz)+($D30*L30*(verbr_BEV_F/100)*prijs_elek_berekening)</f>
        <v>0</v>
      </c>
      <c r="AJ30" s="323">
        <f>Rest_perc*SUM(S30:T30)</f>
        <v>0</v>
      </c>
      <c r="AK30" s="323">
        <f>Rest_perc*SUM(S30:U30)</f>
        <v>0</v>
      </c>
      <c r="AL30" s="323">
        <f>($D30*J30*Onderh_die_F)+($D30*K30*Onderh_benz_F)+($D30*L30*Onderh_BEV_F)</f>
        <v>0</v>
      </c>
      <c r="AM30" s="323">
        <f>IF(BTW_verrekening="Ja",((S30+T30-W30)-AJ30)/(looptijd*12),((S30+T30+U30)-AK30)/(looptijd*12))</f>
        <v>0</v>
      </c>
      <c r="AO30" s="326">
        <f>(Efac_die_TTW*(verbr_die_F/100)*$D30*F30)+(Efac_benz_TTW*(verbr_benz_F/100)*$D30*G30)</f>
        <v>0</v>
      </c>
      <c r="AP30" s="326">
        <f>(Efac_die_WTW*(verbr_die_F/100)*$D30*F30)+(Efac_benz_WTW*(verbr_benz_F/100)*$D30*G30)</f>
        <v>0</v>
      </c>
      <c r="AR30" s="326">
        <f>(Efac_die_TTW*(verbr_die_F/100)*$D30*J30)+(Efac_benz_TTW*(verbr_benz_F/100)*$D30*K30)+(Efac_elek_berekening_TTW*(verbr_BEV_F/100)*$D30*L30)</f>
        <v>0</v>
      </c>
      <c r="AS30" s="326">
        <f>(Efac_die_WTW*(verbr_die_F/100)*$D30*J30)+(Efac_benz_WTW*(verbr_benz_F/100)*$D30*K30)+(Efac_elek_berekening_WTW*(verbr_BEV_F/100)*$D30*L30)</f>
        <v>0</v>
      </c>
    </row>
    <row r="31" spans="1:45">
      <c r="A31" s="327">
        <v>24</v>
      </c>
      <c r="B31" s="319" t="s">
        <v>30</v>
      </c>
      <c r="C31" s="322" t="s">
        <v>396</v>
      </c>
      <c r="D31" s="319">
        <f>$D$6</f>
        <v>40000</v>
      </c>
      <c r="E31" s="322">
        <f t="shared" si="3"/>
        <v>0</v>
      </c>
      <c r="F31" s="322">
        <v>0</v>
      </c>
      <c r="G31" s="322">
        <v>0</v>
      </c>
      <c r="H31" s="322"/>
      <c r="I31" s="322">
        <f t="shared" si="15"/>
        <v>0</v>
      </c>
      <c r="J31" s="322">
        <v>0</v>
      </c>
      <c r="K31" s="322">
        <v>0</v>
      </c>
      <c r="L31" s="322">
        <f t="shared" si="16"/>
        <v>0</v>
      </c>
      <c r="N31" s="323">
        <f>(Netto_cat_die_F*F31)+(Netto_cat_benz_F*G31)</f>
        <v>0</v>
      </c>
      <c r="O31" s="323">
        <f>(BPM_die_F*F31)+(BPM_benz_F*G31)</f>
        <v>0</v>
      </c>
      <c r="P31" s="324">
        <f>BTW*N31</f>
        <v>0</v>
      </c>
      <c r="Q31" s="324">
        <f t="shared" si="5"/>
        <v>0</v>
      </c>
      <c r="S31" s="323">
        <f>(Netto_cat_die_F*J31)+(Netto_cat_benz_F*K31)+(Netto_cat_BEV_F*L31)</f>
        <v>0</v>
      </c>
      <c r="T31" s="323">
        <f>(BPM_die_F*J31)+(BPM_benz_F*K31)+(BPM_BEV*L31)</f>
        <v>0</v>
      </c>
      <c r="U31" s="323">
        <f>BTW*S31</f>
        <v>0</v>
      </c>
      <c r="V31" s="323">
        <f t="shared" si="6"/>
        <v>0</v>
      </c>
      <c r="W31" s="323">
        <f>IF('2. Invoer parameters'!$C$10="ja",MIA_BEV_A*L31,0)</f>
        <v>0</v>
      </c>
      <c r="Y31" s="323">
        <f>(F31*verz_die_F)+(G31*verz_benz_F)</f>
        <v>0</v>
      </c>
      <c r="Z31" s="323">
        <f>(MRB_die_F*$F31)+(MRB_benz_F*$G31)</f>
        <v>0</v>
      </c>
      <c r="AA31" s="323">
        <f>($D31*F31*(verbr_die_F/100)*prijs_die)+($D31*G31*(verbr_benz_F/100)*prijs_benz)</f>
        <v>0</v>
      </c>
      <c r="AB31" s="323">
        <f>($D31*F31*Onderh_die_F)+($D31*G31*Onderh_benz_F)</f>
        <v>0</v>
      </c>
      <c r="AC31" s="323">
        <f>Rest_perc*SUM(N31:O31)</f>
        <v>0</v>
      </c>
      <c r="AD31" s="325">
        <f>Rest_perc*SUM(N31:P31)</f>
        <v>0</v>
      </c>
      <c r="AE31" s="323">
        <f>IF(BTW_verrekening="Ja",((N31+O31)-AC31)/(looptijd*12),((N31+O31+P31)-AD31)/(looptijd*12))</f>
        <v>0</v>
      </c>
      <c r="AG31" s="323">
        <f>(J31*verz_die_F)+(K31*verz_benz_F)+(L31*verz_BEV_F)</f>
        <v>0</v>
      </c>
      <c r="AH31" s="323">
        <f>(MRB_die_F*J31)+(MRB_benz_F*K31)+(MRB_BEV*L31)</f>
        <v>0</v>
      </c>
      <c r="AI31" s="323">
        <f>($D31*J31*(verbr_die_F/100)*prijs_die)+($D31*K31*(verbr_benz_F/100)*prijs_benz)+($D31*L31*(verbr_BEV_F/100)*prijs_elek_berekening)</f>
        <v>0</v>
      </c>
      <c r="AJ31" s="323">
        <f>Rest_perc*SUM(S31:T31)</f>
        <v>0</v>
      </c>
      <c r="AK31" s="323">
        <f>Rest_perc*SUM(S31:U31)</f>
        <v>0</v>
      </c>
      <c r="AL31" s="323">
        <f>($D31*J31*Onderh_die_F)+($D31*K31*Onderh_benz_F)+($D31*L31*Onderh_BEV_F)</f>
        <v>0</v>
      </c>
      <c r="AM31" s="323">
        <f>IF(BTW_verrekening="Ja",((S31+T31-W31)-AJ31)/(looptijd*12),((S31+T31+U31)-AK31)/(looptijd*12))</f>
        <v>0</v>
      </c>
      <c r="AO31" s="326">
        <f>(Efac_die_TTW*(verbr_die_F/100)*$D31*F31)+(Efac_benz_TTW*(verbr_benz_F/100)*$D31*G31)</f>
        <v>0</v>
      </c>
      <c r="AP31" s="326">
        <f>(Efac_die_WTW*(verbr_die_F/100)*$D31*F31)+(Efac_benz_WTW*(verbr_benz_F/100)*$D31*G31)</f>
        <v>0</v>
      </c>
      <c r="AR31" s="326">
        <f>(Efac_die_TTW*(verbr_die_F/100)*$D31*J31)+(Efac_benz_TTW*(verbr_benz_F/100)*$D31*K31)+(Efac_elek_berekening_TTW*(verbr_BEV_F/100)*$D31*L31)</f>
        <v>0</v>
      </c>
      <c r="AS31" s="326">
        <f>(Efac_die_WTW*(verbr_die_F/100)*$D31*J31)+(Efac_benz_WTW*(verbr_benz_F/100)*$D31*K31)+(Efac_elek_berekening_WTW*(verbr_BEV_F/100)*$D31*L31)</f>
        <v>0</v>
      </c>
    </row>
    <row r="32" spans="1:45">
      <c r="A32" s="327"/>
      <c r="C32" s="322"/>
      <c r="D32" s="322"/>
      <c r="E32" s="322"/>
      <c r="F32" s="322"/>
      <c r="G32" s="322"/>
      <c r="H32" s="322"/>
      <c r="I32" s="322"/>
      <c r="J32" s="322"/>
      <c r="K32" s="322"/>
      <c r="L32" s="322"/>
      <c r="P32" s="324"/>
      <c r="Q32" s="324"/>
      <c r="U32" s="323"/>
      <c r="V32" s="323"/>
      <c r="W32" s="323"/>
      <c r="AC32" s="323"/>
      <c r="AD32" s="325"/>
      <c r="AE32" s="323"/>
      <c r="AG32" s="323"/>
      <c r="AJ32" s="323"/>
      <c r="AK32" s="323"/>
      <c r="AM32" s="323"/>
    </row>
    <row r="33" spans="1:45" ht="16.149999999999999" customHeight="1">
      <c r="A33" s="327">
        <v>29</v>
      </c>
      <c r="B33" s="319" t="s">
        <v>33</v>
      </c>
      <c r="C33" s="319">
        <v>10000</v>
      </c>
      <c r="D33" s="319">
        <f>$D$3</f>
        <v>10000</v>
      </c>
      <c r="E33" s="322">
        <f t="shared" si="3"/>
        <v>0</v>
      </c>
      <c r="F33" s="322">
        <f t="array" ref="F33:F36">TRANSPOSE('1. Invoer wagenpark'!H10:K10)</f>
        <v>0</v>
      </c>
      <c r="G33" s="322">
        <f t="array" ref="G33:G36">TRANSPOSE('1. Invoer wagenpark'!D10:G10)</f>
        <v>0</v>
      </c>
      <c r="H33" s="322"/>
      <c r="I33" s="322">
        <f>SUM(J33:L33)</f>
        <v>0</v>
      </c>
      <c r="J33" s="322">
        <v>0</v>
      </c>
      <c r="K33" s="322">
        <v>0</v>
      </c>
      <c r="L33" s="322">
        <f>E33</f>
        <v>0</v>
      </c>
      <c r="N33" s="323">
        <f>(Netto_cat_die_L*F33)+(Netto_cat_benz_L*G33)</f>
        <v>0</v>
      </c>
      <c r="O33" s="323">
        <f>(BPM_die_L*F33)+(BPM_benz_L*G33)</f>
        <v>0</v>
      </c>
      <c r="P33" s="324">
        <f>BTW*N33</f>
        <v>0</v>
      </c>
      <c r="Q33" s="324">
        <f t="shared" si="5"/>
        <v>0</v>
      </c>
      <c r="S33" s="323">
        <f>(Netto_cat_die_L*J33)+(Netto_cat_benz_L*K33)+(Netto_cat_BEV_L*L33)</f>
        <v>0</v>
      </c>
      <c r="T33" s="323">
        <f>(BPM_die_L*J33)+(BPM_benz_L*K33)+(BPM_BEV*L33)</f>
        <v>0</v>
      </c>
      <c r="U33" s="323">
        <f>BTW*S33</f>
        <v>0</v>
      </c>
      <c r="V33" s="323">
        <f t="shared" si="6"/>
        <v>0</v>
      </c>
      <c r="W33" s="323">
        <f>IF('2. Invoer parameters'!$C$10="ja",MIA_BEV_A*L33,0)</f>
        <v>0</v>
      </c>
      <c r="Y33" s="323">
        <f>(F33*verz_die_L)+(G33*verz_benz_L)</f>
        <v>0</v>
      </c>
      <c r="Z33" s="323">
        <f>(MRB_die_L*$F33)+(MRB_benz_L*$G33)</f>
        <v>0</v>
      </c>
      <c r="AA33" s="323">
        <f>($D33*F33*(verbr_die_L/100)*prijs_die)+($D33*G33*(verbr_benz_L/100)*prijs_benz)</f>
        <v>0</v>
      </c>
      <c r="AB33" s="323">
        <f>($D33*F33*Onderh_die_L)+($D33*G33*Onderh_benz_L)</f>
        <v>0</v>
      </c>
      <c r="AC33" s="323">
        <f>Rest_perc*SUM(N33:O33)</f>
        <v>0</v>
      </c>
      <c r="AD33" s="325">
        <f>Rest_perc*SUM(N33:P33)</f>
        <v>0</v>
      </c>
      <c r="AE33" s="323">
        <f>IF(BTW_verrekening="Ja",((N33+O33)-AC33)/(looptijd*12),((N33+O33+P33)-AD33)/(looptijd*12))</f>
        <v>0</v>
      </c>
      <c r="AG33" s="323">
        <f>(J33*verz_die_L)+(K33*verz_benz_L)+(L33*verz_BEV_L)</f>
        <v>0</v>
      </c>
      <c r="AH33" s="323">
        <f>(MRB_die_L*J33)+(MRB_benz_L*K33)+(MRB_BEV*L33)</f>
        <v>0</v>
      </c>
      <c r="AI33" s="323">
        <f>($D33*J33*(verbr_die_L/100)*prijs_die)+($D33*K33*(verbr_benz_L/100)*prijs_benz)+($D33*L33*(verbr_BEV_L/100)*prijs_elek_berekening)</f>
        <v>0</v>
      </c>
      <c r="AJ33" s="323">
        <f>Rest_perc*SUM(S33:T33)</f>
        <v>0</v>
      </c>
      <c r="AK33" s="323">
        <f>Rest_perc*SUM(S33:U33)</f>
        <v>0</v>
      </c>
      <c r="AL33" s="323">
        <f>($D33*J33*Onderh_die_L)+($D33*K33*Onderh_benz_L)+($D33*L33*Onderh_BEV_L)</f>
        <v>0</v>
      </c>
      <c r="AM33" s="323">
        <f>IF(BTW_verrekening="Ja",((S33+T33-W33)-AJ33)/(looptijd*12),((S33+T33+U33)-AK33)/(looptijd*12))</f>
        <v>0</v>
      </c>
      <c r="AO33" s="326">
        <f>(Efac_die_TTW*(verbr_die_L/100)*$D33*F33)+(Efac_benz_TTW*(verbr_benz_L/100)*$D33*G33)</f>
        <v>0</v>
      </c>
      <c r="AP33" s="326">
        <f>(Efac_die_WTW*(verbr_die_L/100)*$D33*F33)+(Efac_benz_WTW*(verbr_benz_L/100)*$D33*G33)</f>
        <v>0</v>
      </c>
      <c r="AR33" s="326">
        <f>(Efac_die_TTW*(verbr_die_L/100)*$D33*J33)+(Efac_benz_TTW*(verbr_benz_L/100)*$D33*K33)+(Efac_elek_berekening_TTW*(verbr_BEV_L/100)*$D33*L33)</f>
        <v>0</v>
      </c>
      <c r="AS33" s="326">
        <f>(Efac_die_WTW*(verbr_die_L/100)*$D33*J33)+(Efac_benz_WTW*(verbr_benz_L/100)*$D33*K33)+(Efac_elek_berekening_WTW*(verbr_BEV_L/100)*$D33*L33)</f>
        <v>0</v>
      </c>
    </row>
    <row r="34" spans="1:45" ht="16.149999999999999" customHeight="1">
      <c r="A34" s="327">
        <v>30</v>
      </c>
      <c r="B34" s="319" t="s">
        <v>33</v>
      </c>
      <c r="C34" s="319">
        <v>20000</v>
      </c>
      <c r="D34" s="319">
        <f>$D$4</f>
        <v>20000</v>
      </c>
      <c r="E34" s="322">
        <f t="shared" si="3"/>
        <v>0</v>
      </c>
      <c r="F34" s="322">
        <v>0</v>
      </c>
      <c r="G34" s="322">
        <v>0</v>
      </c>
      <c r="H34" s="322"/>
      <c r="I34" s="322">
        <f t="shared" ref="I34:I36" si="17">SUM(J34:L34)</f>
        <v>0</v>
      </c>
      <c r="J34" s="322">
        <v>0</v>
      </c>
      <c r="K34" s="322">
        <v>0</v>
      </c>
      <c r="L34" s="322">
        <f t="shared" ref="L34:L36" si="18">E34</f>
        <v>0</v>
      </c>
      <c r="N34" s="323">
        <f>(Netto_cat_die_L*F34)+(Netto_cat_benz_L*G34)</f>
        <v>0</v>
      </c>
      <c r="O34" s="323">
        <f>(BPM_die_L*F34)+(BPM_benz_L*G34)</f>
        <v>0</v>
      </c>
      <c r="P34" s="324">
        <f>BTW*N34</f>
        <v>0</v>
      </c>
      <c r="Q34" s="324">
        <f t="shared" si="5"/>
        <v>0</v>
      </c>
      <c r="S34" s="323">
        <f>(Netto_cat_die_L*J34)+(Netto_cat_benz_L*K34)+(Netto_cat_BEV_L*L34)</f>
        <v>0</v>
      </c>
      <c r="T34" s="323">
        <f>(BPM_die_L*J34)+(BPM_benz_L*K34)+(BPM_BEV*L34)</f>
        <v>0</v>
      </c>
      <c r="U34" s="323">
        <f>BTW*S34</f>
        <v>0</v>
      </c>
      <c r="V34" s="323">
        <f t="shared" si="6"/>
        <v>0</v>
      </c>
      <c r="W34" s="323">
        <f>IF('2. Invoer parameters'!$C$10="ja",MIA_BEV_A*L34,0)</f>
        <v>0</v>
      </c>
      <c r="Y34" s="323">
        <f>(F34*verz_die_L)+(G34*verz_benz_L)</f>
        <v>0</v>
      </c>
      <c r="Z34" s="323">
        <f>(MRB_die_L*$F34)+(MRB_benz_L*$G34)</f>
        <v>0</v>
      </c>
      <c r="AA34" s="323">
        <f>($D34*F34*(verbr_die_L/100)*prijs_die)+($D34*G34*(verbr_benz_L/100)*prijs_benz)</f>
        <v>0</v>
      </c>
      <c r="AB34" s="323">
        <f>($D34*F34*Onderh_die_L)+($D34*G34*Onderh_benz_L)</f>
        <v>0</v>
      </c>
      <c r="AC34" s="323">
        <f>Rest_perc*SUM(N34:O34)</f>
        <v>0</v>
      </c>
      <c r="AD34" s="325">
        <f>Rest_perc*SUM(N34:P34)</f>
        <v>0</v>
      </c>
      <c r="AE34" s="323">
        <f>IF(BTW_verrekening="Ja",((N34+O34)-AC34)/(looptijd*12),((N34+O34+P34)-AD34)/(looptijd*12))</f>
        <v>0</v>
      </c>
      <c r="AG34" s="323">
        <f>(J34*verz_die_L)+(K34*verz_benz_L)+(L34*verz_BEV_L)</f>
        <v>0</v>
      </c>
      <c r="AH34" s="323">
        <f>(MRB_die_L*J34)+(MRB_benz_L*K34)+(MRB_BEV*L34)</f>
        <v>0</v>
      </c>
      <c r="AI34" s="323">
        <f>($D34*J34*(verbr_die_L/100)*prijs_die)+($D34*K34*(verbr_benz_L/100)*prijs_benz)+($D34*L34*(verbr_BEV_L/100)*prijs_elek_berekening)</f>
        <v>0</v>
      </c>
      <c r="AJ34" s="323">
        <f>Rest_perc*SUM(S34:T34)</f>
        <v>0</v>
      </c>
      <c r="AK34" s="323">
        <f>Rest_perc*SUM(S34:U34)</f>
        <v>0</v>
      </c>
      <c r="AL34" s="323">
        <f>($D34*J34*Onderh_die_L)+($D34*K34*Onderh_benz_L)+($D34*L34*Onderh_BEV_L)</f>
        <v>0</v>
      </c>
      <c r="AM34" s="323">
        <f>IF(BTW_verrekening="Ja",((S34+T34-W34)-AJ34)/(looptijd*12),((S34+T34+U34)-AK34)/(looptijd*12))</f>
        <v>0</v>
      </c>
      <c r="AO34" s="326">
        <f>(Efac_die_TTW*(verbr_die_L/100)*$D34*F34)+(Efac_benz_TTW*(verbr_benz_L/100)*$D34*G34)</f>
        <v>0</v>
      </c>
      <c r="AP34" s="326">
        <f>(Efac_die_WTW*(verbr_die_L/100)*$D34*F34)+(Efac_benz_WTW*(verbr_benz_L/100)*$D34*G34)</f>
        <v>0</v>
      </c>
      <c r="AR34" s="326">
        <f>(Efac_die_TTW*(verbr_die_L/100)*$D34*J34)+(Efac_benz_TTW*(verbr_benz_L/100)*$D34*K34)+(Efac_elek_berekening_TTW*(verbr_BEV_L/100)*$D34*L34)</f>
        <v>0</v>
      </c>
      <c r="AS34" s="326">
        <f>(Efac_die_WTW*(verbr_die_L/100)*$D34*J34)+(Efac_benz_WTW*(verbr_benz_L/100)*$D34*K34)+(Efac_elek_berekening_WTW*(verbr_BEV_L/100)*$D34*L34)</f>
        <v>0</v>
      </c>
    </row>
    <row r="35" spans="1:45">
      <c r="A35" s="327">
        <v>31</v>
      </c>
      <c r="B35" s="319" t="s">
        <v>33</v>
      </c>
      <c r="C35" s="319">
        <v>30000</v>
      </c>
      <c r="D35" s="319">
        <f>$D$5</f>
        <v>30000</v>
      </c>
      <c r="E35" s="322">
        <f t="shared" si="3"/>
        <v>0</v>
      </c>
      <c r="F35" s="322">
        <v>0</v>
      </c>
      <c r="G35" s="322">
        <v>0</v>
      </c>
      <c r="H35" s="322"/>
      <c r="I35" s="322">
        <f t="shared" si="17"/>
        <v>0</v>
      </c>
      <c r="J35" s="322">
        <v>0</v>
      </c>
      <c r="K35" s="322">
        <v>0</v>
      </c>
      <c r="L35" s="322">
        <f t="shared" si="18"/>
        <v>0</v>
      </c>
      <c r="N35" s="323">
        <f>(Netto_cat_die_L*F35)+(Netto_cat_benz_L*G35)</f>
        <v>0</v>
      </c>
      <c r="O35" s="323">
        <f>(BPM_die_L*F35)+(BPM_benz_L*G35)</f>
        <v>0</v>
      </c>
      <c r="P35" s="324">
        <f>BTW*N35</f>
        <v>0</v>
      </c>
      <c r="Q35" s="324">
        <f t="shared" si="5"/>
        <v>0</v>
      </c>
      <c r="S35" s="323">
        <f>(Netto_cat_die_L*J35)+(Netto_cat_benz_L*K35)+(Netto_cat_BEV_L*L35)</f>
        <v>0</v>
      </c>
      <c r="T35" s="323">
        <f>(BPM_die_L*J35)+(BPM_benz_L*K35)+(BPM_BEV*L35)</f>
        <v>0</v>
      </c>
      <c r="U35" s="323">
        <f>BTW*S35</f>
        <v>0</v>
      </c>
      <c r="V35" s="323">
        <f t="shared" si="6"/>
        <v>0</v>
      </c>
      <c r="W35" s="323">
        <f>IF('2. Invoer parameters'!$C$10="ja",MIA_BEV_A*L35,0)</f>
        <v>0</v>
      </c>
      <c r="Y35" s="323">
        <f>(F35*verz_die_L)+(G35*verz_benz_L)</f>
        <v>0</v>
      </c>
      <c r="Z35" s="323">
        <f>(MRB_die_L*$F35)+(MRB_benz_L*$G35)</f>
        <v>0</v>
      </c>
      <c r="AA35" s="323">
        <f>($D35*F35*(verbr_die_L/100)*prijs_die)+($D35*G35*(verbr_benz_L/100)*prijs_benz)</f>
        <v>0</v>
      </c>
      <c r="AB35" s="323">
        <f>($D35*F35*Onderh_die_L)+($D35*G35*Onderh_benz_L)</f>
        <v>0</v>
      </c>
      <c r="AC35" s="323">
        <f>Rest_perc*SUM(N35:O35)</f>
        <v>0</v>
      </c>
      <c r="AD35" s="325">
        <f>Rest_perc*SUM(N35:P35)</f>
        <v>0</v>
      </c>
      <c r="AE35" s="323">
        <f>IF(BTW_verrekening="Ja",((N35+O35)-AC35)/(looptijd*12),((N35+O35+P35)-AD35)/(looptijd*12))</f>
        <v>0</v>
      </c>
      <c r="AG35" s="323">
        <f>(J35*verz_die_L)+(K35*verz_benz_L)+(L35*verz_BEV_L)</f>
        <v>0</v>
      </c>
      <c r="AH35" s="323">
        <f>(MRB_die_L*J35)+(MRB_benz_L*K35)+(MRB_BEV*L35)</f>
        <v>0</v>
      </c>
      <c r="AI35" s="323">
        <f>($D35*J35*(verbr_die_L/100)*prijs_die)+($D35*K35*(verbr_benz_L/100)*prijs_benz)+($D35*L35*(verbr_BEV_L/100)*prijs_elek_berekening)</f>
        <v>0</v>
      </c>
      <c r="AJ35" s="323">
        <f>Rest_perc*SUM(S35:T35)</f>
        <v>0</v>
      </c>
      <c r="AK35" s="323">
        <f>Rest_perc*SUM(S35:U35)</f>
        <v>0</v>
      </c>
      <c r="AL35" s="323">
        <f>($D35*J35*Onderh_die_L)+($D35*K35*Onderh_benz_L)+($D35*L35*Onderh_BEV_L)</f>
        <v>0</v>
      </c>
      <c r="AM35" s="323">
        <f>IF(BTW_verrekening="Ja",((S35+T35-W35)-AJ35)/(looptijd*12),((S35+T35+U35)-AK35)/(looptijd*12))</f>
        <v>0</v>
      </c>
      <c r="AO35" s="326">
        <f>(Efac_die_TTW*(verbr_die_L/100)*$D35*F35)+(Efac_benz_TTW*(verbr_benz_L/100)*$D35*G35)</f>
        <v>0</v>
      </c>
      <c r="AP35" s="326">
        <f>(Efac_die_WTW*(verbr_die_L/100)*$D35*F35)+(Efac_benz_WTW*(verbr_benz_L/100)*$D35*G35)</f>
        <v>0</v>
      </c>
      <c r="AR35" s="326">
        <f>(Efac_die_TTW*(verbr_die_L/100)*$D35*J35)+(Efac_benz_TTW*(verbr_benz_L/100)*$D35*K35)+(Efac_elek_berekening_TTW*(verbr_BEV_L/100)*$D35*L35)</f>
        <v>0</v>
      </c>
      <c r="AS35" s="326">
        <f>(Efac_die_WTW*(verbr_die_L/100)*$D35*J35)+(Efac_benz_WTW*(verbr_benz_L/100)*$D35*K35)+(Efac_elek_berekening_WTW*(verbr_BEV_L/100)*$D35*L35)</f>
        <v>0</v>
      </c>
    </row>
    <row r="36" spans="1:45" ht="16.149999999999999" customHeight="1">
      <c r="A36" s="327">
        <v>32</v>
      </c>
      <c r="B36" s="319" t="s">
        <v>33</v>
      </c>
      <c r="C36" s="322" t="s">
        <v>396</v>
      </c>
      <c r="D36" s="319">
        <f>$D$6</f>
        <v>40000</v>
      </c>
      <c r="E36" s="322">
        <f t="shared" si="3"/>
        <v>0</v>
      </c>
      <c r="F36" s="322">
        <v>0</v>
      </c>
      <c r="G36" s="322">
        <v>0</v>
      </c>
      <c r="H36" s="322"/>
      <c r="I36" s="322">
        <f t="shared" si="17"/>
        <v>0</v>
      </c>
      <c r="J36" s="322">
        <v>0</v>
      </c>
      <c r="K36" s="322">
        <v>0</v>
      </c>
      <c r="L36" s="322">
        <f t="shared" si="18"/>
        <v>0</v>
      </c>
      <c r="N36" s="323">
        <f>(Netto_cat_die_L*F36)+(Netto_cat_benz_L*G36)</f>
        <v>0</v>
      </c>
      <c r="O36" s="323">
        <f>(BPM_die_L*F36)+(BPM_benz_L*G36)</f>
        <v>0</v>
      </c>
      <c r="P36" s="324">
        <f>BTW*N36</f>
        <v>0</v>
      </c>
      <c r="Q36" s="324">
        <f t="shared" si="5"/>
        <v>0</v>
      </c>
      <c r="S36" s="323">
        <f>(Netto_cat_die_L*J36)+(Netto_cat_benz_L*K36)+(Netto_cat_BEV_L*L36)</f>
        <v>0</v>
      </c>
      <c r="T36" s="323">
        <f>(BPM_die_L*J36)+(BPM_benz_L*K36)+(BPM_BEV*L36)</f>
        <v>0</v>
      </c>
      <c r="U36" s="323">
        <f>BTW*S36</f>
        <v>0</v>
      </c>
      <c r="V36" s="323">
        <f t="shared" si="6"/>
        <v>0</v>
      </c>
      <c r="W36" s="323">
        <f>IF('2. Invoer parameters'!$C$10="ja",MIA_BEV_A*L36,0)</f>
        <v>0</v>
      </c>
      <c r="Y36" s="323">
        <f>(F36*verz_die_L)+(G36*verz_benz_L)</f>
        <v>0</v>
      </c>
      <c r="Z36" s="323">
        <f>(MRB_die_L*$F36)+(MRB_benz_L*$G36)</f>
        <v>0</v>
      </c>
      <c r="AA36" s="323">
        <f>($D36*F36*(verbr_die_L/100)*prijs_die)+($D36*G36*(verbr_benz_L/100)*prijs_benz)</f>
        <v>0</v>
      </c>
      <c r="AB36" s="323">
        <f>($D36*F36*Onderh_die_L)+($D36*G36*Onderh_benz_L)</f>
        <v>0</v>
      </c>
      <c r="AC36" s="323">
        <f>Rest_perc*SUM(N36:O36)</f>
        <v>0</v>
      </c>
      <c r="AD36" s="325">
        <f>Rest_perc*SUM(N36:P36)</f>
        <v>0</v>
      </c>
      <c r="AE36" s="323">
        <f>IF(BTW_verrekening="Ja",((N36+O36)-AC36)/(looptijd*12),((N36+O36+P36)-AD36)/(looptijd*12))</f>
        <v>0</v>
      </c>
      <c r="AG36" s="323">
        <f>(J36*verz_die_L)+(K36*verz_benz_L)+(L36*verz_BEV_L)</f>
        <v>0</v>
      </c>
      <c r="AH36" s="323">
        <f>(MRB_die_L*J36)+(MRB_benz_L*K36)+(MRB_BEV*L36)</f>
        <v>0</v>
      </c>
      <c r="AI36" s="323">
        <f>($D36*J36*(verbr_die_L/100)*prijs_die)+($D36*K36*(verbr_benz_L/100)*prijs_benz)+($D36*L36*(verbr_BEV_L/100)*prijs_elek_berekening)</f>
        <v>0</v>
      </c>
      <c r="AJ36" s="323">
        <f>Rest_perc*SUM(S36:T36)</f>
        <v>0</v>
      </c>
      <c r="AK36" s="323">
        <f>Rest_perc*SUM(S36:U36)</f>
        <v>0</v>
      </c>
      <c r="AL36" s="323">
        <f>($D36*J36*Onderh_die_L)+($D36*K36*Onderh_benz_L)+($D36*L36*Onderh_BEV_L)</f>
        <v>0</v>
      </c>
      <c r="AM36" s="323">
        <f>IF(BTW_verrekening="Ja",((S36+T36-W36)-AJ36)/(looptijd*12),((S36+T36+U36)-AK36)/(looptijd*12))</f>
        <v>0</v>
      </c>
      <c r="AO36" s="326">
        <f>(Efac_die_TTW*(verbr_die_L/100)*$D36*F36)+(Efac_benz_TTW*(verbr_benz_L/100)*$D36*G36)</f>
        <v>0</v>
      </c>
      <c r="AP36" s="326">
        <f>(Efac_die_WTW*(verbr_die_L/100)*$D36*F36)+(Efac_benz_WTW*(verbr_benz_L/100)*$D36*G36)</f>
        <v>0</v>
      </c>
      <c r="AR36" s="326">
        <f>(Efac_die_TTW*(verbr_die_L/100)*$D36*J36)+(Efac_benz_TTW*(verbr_benz_L/100)*$D36*K36)+(Efac_elek_berekening_TTW*(verbr_BEV_L/100)*$D36*L36)</f>
        <v>0</v>
      </c>
      <c r="AS36" s="326">
        <f>(Efac_die_WTW*(verbr_die_L/100)*$D36*J36)+(Efac_benz_WTW*(verbr_benz_L/100)*$D36*K36)+(Efac_elek_berekening_WTW*(verbr_BEV_L/100)*$D36*L36)</f>
        <v>0</v>
      </c>
    </row>
    <row r="37" spans="1:45">
      <c r="E37" s="322"/>
      <c r="F37" s="322"/>
      <c r="G37" s="322"/>
      <c r="H37" s="322"/>
      <c r="I37" s="322"/>
      <c r="J37" s="322"/>
      <c r="K37" s="322"/>
      <c r="L37" s="322"/>
      <c r="P37" s="324"/>
      <c r="Q37" s="324"/>
      <c r="U37" s="323"/>
      <c r="V37" s="323"/>
      <c r="W37" s="323"/>
      <c r="AC37" s="323"/>
      <c r="AD37" s="325"/>
      <c r="AE37" s="323"/>
      <c r="AG37" s="323"/>
      <c r="AJ37" s="323"/>
      <c r="AK37" s="323"/>
      <c r="AM37" s="323"/>
      <c r="AO37" s="326"/>
    </row>
    <row r="38" spans="1:45">
      <c r="A38" s="327">
        <v>33</v>
      </c>
      <c r="B38" s="319" t="s">
        <v>37</v>
      </c>
      <c r="C38" s="319">
        <v>10000</v>
      </c>
      <c r="D38" s="319">
        <f>$D$3</f>
        <v>10000</v>
      </c>
      <c r="E38" s="322">
        <f t="shared" si="3"/>
        <v>0</v>
      </c>
      <c r="F38" s="322">
        <f t="array" ref="F38:F41">TRANSPOSE('1. Invoer wagenpark'!H11:K11)</f>
        <v>0</v>
      </c>
      <c r="G38" s="322">
        <f t="array" ref="G38:G41">TRANSPOSE('1. Invoer wagenpark'!D11:G11)</f>
        <v>0</v>
      </c>
      <c r="H38" s="322"/>
      <c r="I38" s="322">
        <f>SUM(J38:L38)</f>
        <v>0</v>
      </c>
      <c r="J38" s="322">
        <v>0</v>
      </c>
      <c r="K38" s="322">
        <v>0</v>
      </c>
      <c r="L38" s="322">
        <f>E38</f>
        <v>0</v>
      </c>
      <c r="N38" s="323">
        <f>(Netto_cat_die_M*F38)+(Netto_cat_benz_M*G38)</f>
        <v>0</v>
      </c>
      <c r="O38" s="323">
        <f>(BPM_die_M*F38)+(BPM_benz_M*G38)</f>
        <v>0</v>
      </c>
      <c r="P38" s="324">
        <f>BTW*N38</f>
        <v>0</v>
      </c>
      <c r="Q38" s="324">
        <f t="shared" si="5"/>
        <v>0</v>
      </c>
      <c r="S38" s="323">
        <f>(Netto_cat_die_M*J38)+(Netto_cat_benz_M*K38)+(Netto_cat_BEV_M*L38)</f>
        <v>0</v>
      </c>
      <c r="T38" s="323">
        <f>(BPM_die_M*J38)+(BPM_benz_M*K38)+(BPM_BEV*L38)</f>
        <v>0</v>
      </c>
      <c r="U38" s="323">
        <f>BTW*S38</f>
        <v>0</v>
      </c>
      <c r="V38" s="323">
        <f t="shared" si="6"/>
        <v>0</v>
      </c>
      <c r="W38" s="323">
        <f>IF('2. Invoer parameters'!$C$10="ja",MIA_BEV_A*L38,0)</f>
        <v>0</v>
      </c>
      <c r="Y38" s="323">
        <f>(F38*verz_die_M)+(G38*verz_benz_M)</f>
        <v>0</v>
      </c>
      <c r="Z38" s="323">
        <f>(MRB_die_M*$F38)+(MRB_benz_M*$G38)</f>
        <v>0</v>
      </c>
      <c r="AA38" s="323">
        <f>($D38*F38*(verbr_die_M/100)*prijs_die)+($D38*G38*(verbr_benz_M/100)*prijs_benz)</f>
        <v>0</v>
      </c>
      <c r="AB38" s="323">
        <f>($D38*F38*Onderh_die_M)+($D38*G38*Onderh_benz_M)</f>
        <v>0</v>
      </c>
      <c r="AC38" s="323">
        <f>Rest_perc*SUM(N38:O38)</f>
        <v>0</v>
      </c>
      <c r="AD38" s="325">
        <f>Rest_perc*SUM(N38:P38)</f>
        <v>0</v>
      </c>
      <c r="AE38" s="323">
        <f>IF(BTW_verrekening="Ja",((N38+O38)-AC38)/(looptijd*12),((N38+O38+P38)-AD38)/(looptijd*12))</f>
        <v>0</v>
      </c>
      <c r="AG38" s="323">
        <f>(J38*verz_die_M)+(K38*verz_benz_M)+(L38*verz_BEV_M)</f>
        <v>0</v>
      </c>
      <c r="AH38" s="323">
        <f>(MRB_die_M*J38)+(MRB_benz_M*K38)+(MRB_BEV*L38)</f>
        <v>0</v>
      </c>
      <c r="AI38" s="323">
        <f>($D38*J38*(verbr_die_M/100)*prijs_die)+($D38*K38*(verbr_benz_M/100)*prijs_benz)+($D38*L38*(verbr_BEV_M/100)*prijs_elek_berekening)</f>
        <v>0</v>
      </c>
      <c r="AJ38" s="323">
        <f>Rest_perc*SUM(S38:T38)</f>
        <v>0</v>
      </c>
      <c r="AK38" s="323">
        <f>Rest_perc*SUM(S38:U38)</f>
        <v>0</v>
      </c>
      <c r="AL38" s="323">
        <f>($D38*J38*Onderh_die_M)+($D38*K38*Onderh_benz_M)+($D38*L38*Onderh_BEV_M)</f>
        <v>0</v>
      </c>
      <c r="AM38" s="323">
        <f>IF(BTW_verrekening="Ja",((S38+T38-W38)-AJ38)/(looptijd*12),((S38+T38+U38)-AK38)/(looptijd*12))</f>
        <v>0</v>
      </c>
      <c r="AO38" s="326">
        <f>(Efac_die_TTW*(verbr_die_M/100)*$D38*F38)+(Efac_benz_TTW*(verbr_benz_M/100)*$D38*G38)</f>
        <v>0</v>
      </c>
      <c r="AP38" s="326">
        <f>(Efac_die_WTW*(verbr_die_M/100)*$D38*F38)+(Efac_benz_WTW*(verbr_benz_M/100)*$D38*G38)</f>
        <v>0</v>
      </c>
      <c r="AR38" s="326">
        <f>(Efac_die_TTW*(verbr_die_M/100)*$D38*J38)+(Efac_benz_TTW*(verbr_benz_M/100)*$D38*K38)+(Efac_elek_berekening_TTW*(verbr_BEV_M/100)*$D38*L38)</f>
        <v>0</v>
      </c>
      <c r="AS38" s="326">
        <f>(Efac_die_WTW*(verbr_die_M/100)*$D38*J38)+(Efac_benz_WTW*(verbr_benz_M/100)*$D38*K38)+(Efac_elek_berekening_WTW*(verbr_BEV_M/100)*$D38*L38)</f>
        <v>0</v>
      </c>
    </row>
    <row r="39" spans="1:45">
      <c r="A39" s="327">
        <v>34</v>
      </c>
      <c r="B39" s="319" t="s">
        <v>37</v>
      </c>
      <c r="C39" s="319">
        <v>20000</v>
      </c>
      <c r="D39" s="319">
        <f>$D$4</f>
        <v>20000</v>
      </c>
      <c r="E39" s="322">
        <f t="shared" si="3"/>
        <v>0</v>
      </c>
      <c r="F39" s="322">
        <v>0</v>
      </c>
      <c r="G39" s="322">
        <v>0</v>
      </c>
      <c r="H39" s="322"/>
      <c r="I39" s="322">
        <f t="shared" ref="I39:I41" si="19">SUM(J39:L39)</f>
        <v>0</v>
      </c>
      <c r="J39" s="322">
        <v>0</v>
      </c>
      <c r="K39" s="322">
        <v>0</v>
      </c>
      <c r="L39" s="322">
        <f t="shared" ref="L39:L41" si="20">E39</f>
        <v>0</v>
      </c>
      <c r="N39" s="323">
        <f>(Netto_cat_die_M*F39)+(Netto_cat_benz_M*G39)</f>
        <v>0</v>
      </c>
      <c r="O39" s="323">
        <f>(BPM_die_M*F39)+(BPM_benz_M*G39)</f>
        <v>0</v>
      </c>
      <c r="P39" s="324">
        <f>BTW*N39</f>
        <v>0</v>
      </c>
      <c r="Q39" s="324">
        <f t="shared" si="5"/>
        <v>0</v>
      </c>
      <c r="S39" s="323">
        <f>(Netto_cat_die_M*J39)+(Netto_cat_benz_M*K39)+(Netto_cat_BEV_M*L39)</f>
        <v>0</v>
      </c>
      <c r="T39" s="323">
        <f>(BPM_die_M*J39)+(BPM_benz_M*K39)+(BPM_BEV*L39)</f>
        <v>0</v>
      </c>
      <c r="U39" s="323">
        <f>BTW*S39</f>
        <v>0</v>
      </c>
      <c r="V39" s="323">
        <f t="shared" si="6"/>
        <v>0</v>
      </c>
      <c r="W39" s="323">
        <f>IF('2. Invoer parameters'!$C$10="ja",MIA_BEV_A*L39,0)</f>
        <v>0</v>
      </c>
      <c r="Y39" s="323">
        <f>(F39*verz_die_M)+(G39*verz_benz_M)</f>
        <v>0</v>
      </c>
      <c r="Z39" s="323">
        <f>(MRB_die_M*$F39)+(MRB_benz_M*$G39)</f>
        <v>0</v>
      </c>
      <c r="AA39" s="323">
        <f>($D39*F39*(verbr_die_M/100)*prijs_die)+($D39*G39*(verbr_benz_M/100)*prijs_benz)</f>
        <v>0</v>
      </c>
      <c r="AB39" s="323">
        <f>($D39*F39*Onderh_die_M)+($D39*G39*Onderh_benz_M)</f>
        <v>0</v>
      </c>
      <c r="AC39" s="323">
        <f>Rest_perc*SUM(N39:O39)</f>
        <v>0</v>
      </c>
      <c r="AD39" s="325">
        <f>Rest_perc*SUM(N39:P39)</f>
        <v>0</v>
      </c>
      <c r="AE39" s="323">
        <f>IF(BTW_verrekening="Ja",((N39+O39)-AC39)/(looptijd*12),((N39+O39+P39)-AD39)/(looptijd*12))</f>
        <v>0</v>
      </c>
      <c r="AG39" s="323">
        <f>(J39*verz_die_M)+(K39*verz_benz_M)+(L39*verz_BEV_M)</f>
        <v>0</v>
      </c>
      <c r="AH39" s="323">
        <f>(MRB_die_M*J39)+(MRB_benz_M*K39)+(MRB_BEV*L39)</f>
        <v>0</v>
      </c>
      <c r="AI39" s="323">
        <f>($D39*J39*(verbr_die_M/100)*prijs_die)+($D39*K39*(verbr_benz_M/100)*prijs_benz)+($D39*L39*(verbr_BEV_M/100)*prijs_elek_berekening)</f>
        <v>0</v>
      </c>
      <c r="AJ39" s="323">
        <f>Rest_perc*SUM(S39:T39)</f>
        <v>0</v>
      </c>
      <c r="AK39" s="323">
        <f>Rest_perc*SUM(S39:U39)</f>
        <v>0</v>
      </c>
      <c r="AL39" s="323">
        <f>($D39*J39*Onderh_die_M)+($D39*K39*Onderh_benz_M)+($D39*L39*Onderh_BEV_M)</f>
        <v>0</v>
      </c>
      <c r="AM39" s="323">
        <f>IF(BTW_verrekening="Ja",((S39+T39-W39)-AJ39)/(looptijd*12),((S39+T39+U39)-AK39)/(looptijd*12))</f>
        <v>0</v>
      </c>
      <c r="AO39" s="326">
        <f>(Efac_die_TTW*(verbr_die_M/100)*$D39*F39)+(Efac_benz_TTW*(verbr_benz_M/100)*$D39*G39)</f>
        <v>0</v>
      </c>
      <c r="AP39" s="326">
        <f>(Efac_die_WTW*(verbr_die_M/100)*$D39*F39)+(Efac_benz_WTW*(verbr_benz_M/100)*$D39*G39)</f>
        <v>0</v>
      </c>
      <c r="AR39" s="326">
        <f>(Efac_die_TTW*(verbr_die_M/100)*$D39*J39)+(Efac_benz_TTW*(verbr_benz_M/100)*$D39*K39)+(Efac_elek_berekening_TTW*(verbr_BEV_M/100)*$D39*L39)</f>
        <v>0</v>
      </c>
      <c r="AS39" s="326">
        <f>(Efac_die_WTW*(verbr_die_M/100)*$D39*J39)+(Efac_benz_WTW*(verbr_benz_M/100)*$D39*K39)+(Efac_elek_berekening_WTW*(verbr_BEV_M/100)*$D39*L39)</f>
        <v>0</v>
      </c>
    </row>
    <row r="40" spans="1:45">
      <c r="A40" s="327">
        <v>35</v>
      </c>
      <c r="B40" s="319" t="s">
        <v>37</v>
      </c>
      <c r="C40" s="319">
        <v>30000</v>
      </c>
      <c r="D40" s="319">
        <f>$D$5</f>
        <v>30000</v>
      </c>
      <c r="E40" s="322">
        <f t="shared" si="3"/>
        <v>0</v>
      </c>
      <c r="F40" s="322">
        <v>0</v>
      </c>
      <c r="G40" s="322">
        <v>0</v>
      </c>
      <c r="H40" s="322"/>
      <c r="I40" s="322">
        <f t="shared" si="19"/>
        <v>0</v>
      </c>
      <c r="J40" s="322">
        <v>0</v>
      </c>
      <c r="K40" s="322">
        <v>0</v>
      </c>
      <c r="L40" s="322">
        <f t="shared" si="20"/>
        <v>0</v>
      </c>
      <c r="N40" s="323">
        <f>(Netto_cat_die_M*F40)+(Netto_cat_benz_M*G40)</f>
        <v>0</v>
      </c>
      <c r="O40" s="323">
        <f>(BPM_die_M*F40)+(BPM_benz_M*G40)</f>
        <v>0</v>
      </c>
      <c r="P40" s="324">
        <f>BTW*N40</f>
        <v>0</v>
      </c>
      <c r="Q40" s="324">
        <f t="shared" si="5"/>
        <v>0</v>
      </c>
      <c r="S40" s="323">
        <f>(Netto_cat_die_M*J40)+(Netto_cat_benz_M*K40)+(Netto_cat_BEV_M*L40)</f>
        <v>0</v>
      </c>
      <c r="T40" s="323">
        <f>(BPM_die_M*J40)+(BPM_benz_M*K40)+(BPM_BEV*L40)</f>
        <v>0</v>
      </c>
      <c r="U40" s="323">
        <f>BTW*S40</f>
        <v>0</v>
      </c>
      <c r="V40" s="323">
        <f t="shared" si="6"/>
        <v>0</v>
      </c>
      <c r="W40" s="323">
        <f>IF('2. Invoer parameters'!$C$10="ja",MIA_BEV_A*L40,0)</f>
        <v>0</v>
      </c>
      <c r="Y40" s="323">
        <f>(F40*verz_die_M)+(G40*verz_benz_M)</f>
        <v>0</v>
      </c>
      <c r="Z40" s="323">
        <f>(MRB_die_M*$F40)+(MRB_benz_M*$G40)</f>
        <v>0</v>
      </c>
      <c r="AA40" s="323">
        <f>($D40*F40*(verbr_die_M/100)*prijs_die)+($D40*G40*(verbr_benz_M/100)*prijs_benz)</f>
        <v>0</v>
      </c>
      <c r="AB40" s="323">
        <f>($D40*F40*Onderh_die_M)+($D40*G40*Onderh_benz_M)</f>
        <v>0</v>
      </c>
      <c r="AC40" s="323">
        <f>Rest_perc*SUM(N40:O40)</f>
        <v>0</v>
      </c>
      <c r="AD40" s="325">
        <f>Rest_perc*SUM(N40:P40)</f>
        <v>0</v>
      </c>
      <c r="AE40" s="323">
        <f>IF(BTW_verrekening="Ja",((N40+O40)-AC40)/(looptijd*12),((N40+O40+P40)-AD40)/(looptijd*12))</f>
        <v>0</v>
      </c>
      <c r="AG40" s="323">
        <f>(J40*verz_die_M)+(K40*verz_benz_M)+(L40*verz_BEV_M)</f>
        <v>0</v>
      </c>
      <c r="AH40" s="323">
        <f>(MRB_die_M*J40)+(MRB_benz_M*K40)+(MRB_BEV*L40)</f>
        <v>0</v>
      </c>
      <c r="AI40" s="323">
        <f>($D40*J40*(verbr_die_M/100)*prijs_die)+($D40*K40*(verbr_benz_M/100)*prijs_benz)+($D40*L40*(verbr_BEV_M/100)*prijs_elek_berekening)</f>
        <v>0</v>
      </c>
      <c r="AJ40" s="323">
        <f>Rest_perc*SUM(S40:T40)</f>
        <v>0</v>
      </c>
      <c r="AK40" s="323">
        <f>Rest_perc*SUM(S40:U40)</f>
        <v>0</v>
      </c>
      <c r="AL40" s="323">
        <f>($D40*J40*Onderh_die_M)+($D40*K40*Onderh_benz_M)+($D40*L40*Onderh_BEV_M)</f>
        <v>0</v>
      </c>
      <c r="AM40" s="323">
        <f>IF(BTW_verrekening="Ja",((S40+T40-W40)-AJ40)/(looptijd*12),((S40+T40+U40)-AK40)/(looptijd*12))</f>
        <v>0</v>
      </c>
      <c r="AO40" s="326">
        <f>(Efac_die_TTW*(verbr_die_M/100)*$D40*F40)+(Efac_benz_TTW*(verbr_benz_M/100)*$D40*G40)</f>
        <v>0</v>
      </c>
      <c r="AP40" s="326">
        <f>(Efac_die_WTW*(verbr_die_M/100)*$D40*F40)+(Efac_benz_WTW*(verbr_benz_M/100)*$D40*G40)</f>
        <v>0</v>
      </c>
      <c r="AR40" s="326">
        <f>(Efac_die_TTW*(verbr_die_M/100)*$D40*J40)+(Efac_benz_TTW*(verbr_benz_M/100)*$D40*K40)+(Efac_elek_berekening_TTW*(verbr_BEV_M/100)*$D40*L40)</f>
        <v>0</v>
      </c>
      <c r="AS40" s="326">
        <f>(Efac_die_WTW*(verbr_die_M/100)*$D40*J40)+(Efac_benz_WTW*(verbr_benz_M/100)*$D40*K40)+(Efac_elek_berekening_WTW*(verbr_BEV_M/100)*$D40*L40)</f>
        <v>0</v>
      </c>
    </row>
    <row r="41" spans="1:45">
      <c r="A41" s="327">
        <v>36</v>
      </c>
      <c r="B41" s="319" t="s">
        <v>37</v>
      </c>
      <c r="C41" s="322" t="s">
        <v>396</v>
      </c>
      <c r="D41" s="319">
        <f>$D$6</f>
        <v>40000</v>
      </c>
      <c r="E41" s="322">
        <f t="shared" si="3"/>
        <v>0</v>
      </c>
      <c r="F41" s="322">
        <v>0</v>
      </c>
      <c r="G41" s="322">
        <v>0</v>
      </c>
      <c r="H41" s="322"/>
      <c r="I41" s="322">
        <f t="shared" si="19"/>
        <v>0</v>
      </c>
      <c r="J41" s="322">
        <v>0</v>
      </c>
      <c r="K41" s="322">
        <v>0</v>
      </c>
      <c r="L41" s="322">
        <f t="shared" si="20"/>
        <v>0</v>
      </c>
      <c r="N41" s="323">
        <f>(Netto_cat_die_M*F41)+(Netto_cat_benz_M*G41)</f>
        <v>0</v>
      </c>
      <c r="O41" s="323">
        <f>(BPM_die_M*F41)+(BPM_benz_M*G41)</f>
        <v>0</v>
      </c>
      <c r="P41" s="324">
        <f>BTW*N41</f>
        <v>0</v>
      </c>
      <c r="Q41" s="324">
        <f t="shared" si="5"/>
        <v>0</v>
      </c>
      <c r="S41" s="323">
        <f>(Netto_cat_die_M*J41)+(Netto_cat_benz_M*K41)+(Netto_cat_BEV_M*L41)</f>
        <v>0</v>
      </c>
      <c r="T41" s="323">
        <f>(BPM_die_M*J41)+(BPM_benz_M*K41)+(BPM_BEV*L41)</f>
        <v>0</v>
      </c>
      <c r="U41" s="323">
        <f>BTW*S41</f>
        <v>0</v>
      </c>
      <c r="V41" s="323">
        <f t="shared" si="6"/>
        <v>0</v>
      </c>
      <c r="W41" s="323">
        <f>IF('2. Invoer parameters'!$C$10="ja",MIA_BEV_A*L41,0)</f>
        <v>0</v>
      </c>
      <c r="Y41" s="323">
        <f>(F41*verz_die_M)+(G41*verz_benz_M)</f>
        <v>0</v>
      </c>
      <c r="Z41" s="323">
        <f>(MRB_die_M*$F41)+(MRB_benz_M*$G41)</f>
        <v>0</v>
      </c>
      <c r="AA41" s="323">
        <f>($D41*F41*(verbr_die_M/100)*prijs_die)+($D41*G41*(verbr_benz_M/100)*prijs_benz)</f>
        <v>0</v>
      </c>
      <c r="AB41" s="323">
        <f>($D41*F41*Onderh_die_M)+($D41*G41*Onderh_benz_M)</f>
        <v>0</v>
      </c>
      <c r="AC41" s="323">
        <f>Rest_perc*SUM(N41:O41)</f>
        <v>0</v>
      </c>
      <c r="AD41" s="325">
        <f>Rest_perc*SUM(N41:P41)</f>
        <v>0</v>
      </c>
      <c r="AE41" s="323">
        <f>IF(BTW_verrekening="Ja",((N41+O41)-AC41)/(looptijd*12),((N41+O41+P41)-AD41)/(looptijd*12))</f>
        <v>0</v>
      </c>
      <c r="AG41" s="323">
        <f>(J41*verz_die_M)+(K41*verz_benz_M)+(L41*verz_BEV_M)</f>
        <v>0</v>
      </c>
      <c r="AH41" s="323">
        <f>(MRB_die_M*J41)+(MRB_benz_M*K41)+(MRB_BEV*L41)</f>
        <v>0</v>
      </c>
      <c r="AI41" s="323">
        <f>($D41*J41*(verbr_die_M/100)*prijs_die)+($D41*K41*(verbr_benz_M/100)*prijs_benz)+($D41*L41*(verbr_BEV_M/100)*prijs_elek_berekening)</f>
        <v>0</v>
      </c>
      <c r="AJ41" s="323">
        <f>Rest_perc*SUM(S41:T41)</f>
        <v>0</v>
      </c>
      <c r="AK41" s="323">
        <f>Rest_perc*SUM(S41:U41)</f>
        <v>0</v>
      </c>
      <c r="AL41" s="323">
        <f>($D41*J41*Onderh_die_M)+($D41*K41*Onderh_benz_M)+($D41*L41*Onderh_BEV_M)</f>
        <v>0</v>
      </c>
      <c r="AM41" s="323">
        <f>IF(BTW_verrekening="Ja",((S41+T41-W41)-AJ41)/(looptijd*12),((S41+T41+U41)-AK41)/(looptijd*12))</f>
        <v>0</v>
      </c>
      <c r="AO41" s="326">
        <f>(Efac_die_TTW*(verbr_die_M/100)*$D41*F41)+(Efac_benz_TTW*(verbr_benz_M/100)*$D41*G41)</f>
        <v>0</v>
      </c>
      <c r="AP41" s="326">
        <f>(Efac_die_WTW*(verbr_die_M/100)*$D41*F41)+(Efac_benz_WTW*(verbr_benz_M/100)*$D41*G41)</f>
        <v>0</v>
      </c>
      <c r="AR41" s="326">
        <f>(Efac_die_TTW*(verbr_die_M/100)*$D41*J41)+(Efac_benz_TTW*(verbr_benz_M/100)*$D41*K41)+(Efac_elek_berekening_TTW*(verbr_BEV_M/100)*$D41*L41)</f>
        <v>0</v>
      </c>
      <c r="AS41" s="326">
        <f>(Efac_die_WTW*(verbr_die_M/100)*$D41*J41)+(Efac_benz_WTW*(verbr_benz_M/100)*$D41*K41)+(Efac_elek_berekening_WTW*(verbr_BEV_M/100)*$D41*L41)</f>
        <v>0</v>
      </c>
    </row>
    <row r="42" spans="1:45">
      <c r="E42" s="322"/>
      <c r="F42" s="322"/>
      <c r="G42" s="322"/>
      <c r="H42" s="322"/>
      <c r="I42" s="322"/>
      <c r="J42" s="322"/>
      <c r="K42" s="322"/>
      <c r="L42" s="322"/>
      <c r="P42" s="324"/>
      <c r="Q42" s="324"/>
      <c r="U42" s="323"/>
      <c r="V42" s="323"/>
      <c r="W42" s="323"/>
      <c r="AC42" s="323"/>
      <c r="AD42" s="325"/>
      <c r="AE42" s="323"/>
      <c r="AG42" s="323"/>
      <c r="AJ42" s="323"/>
      <c r="AK42" s="323"/>
      <c r="AM42" s="323"/>
      <c r="AO42" s="326"/>
    </row>
    <row r="43" spans="1:45">
      <c r="A43" s="327">
        <v>37</v>
      </c>
      <c r="B43" s="327" t="s">
        <v>176</v>
      </c>
      <c r="C43" s="319">
        <v>10000</v>
      </c>
      <c r="D43" s="319">
        <f>$D$3</f>
        <v>10000</v>
      </c>
      <c r="E43" s="322">
        <f t="shared" si="3"/>
        <v>0</v>
      </c>
      <c r="F43" s="322">
        <f t="array" ref="F43:F46">TRANSPOSE('1. Invoer wagenpark'!H13:K13)</f>
        <v>0</v>
      </c>
      <c r="G43" s="322" t="str">
        <f t="array" ref="G43:G46">TRANSPOSE('1. Invoer wagenpark'!D13:G13)</f>
        <v>n.v.t.</v>
      </c>
      <c r="H43" s="322"/>
      <c r="I43" s="322">
        <f>SUM(J43:L43)</f>
        <v>0</v>
      </c>
      <c r="J43" s="322">
        <v>0</v>
      </c>
      <c r="K43" s="322" t="str">
        <f>G43</f>
        <v>n.v.t.</v>
      </c>
      <c r="L43" s="322">
        <f>E43</f>
        <v>0</v>
      </c>
      <c r="N43" s="323">
        <f>(Netto_cat_die_bestel_klein*F43)</f>
        <v>0</v>
      </c>
      <c r="O43" s="323">
        <f>(BPM_die_bestel_klein*F43)</f>
        <v>0</v>
      </c>
      <c r="P43" s="324">
        <f>BTW*N43</f>
        <v>0</v>
      </c>
      <c r="Q43" s="324">
        <f t="shared" si="5"/>
        <v>0</v>
      </c>
      <c r="S43" s="323">
        <f>(Netto_cat_die_bestel_klein*J43)+(Netto_cat_BEV_bestel_klein*L43)</f>
        <v>0</v>
      </c>
      <c r="T43" s="323">
        <f>(BPM_die_bestel_klein*J43)+(BPM_BEV*L43)</f>
        <v>0</v>
      </c>
      <c r="U43" s="323">
        <f t="shared" ref="U43:U51" si="21">BTW*S43</f>
        <v>0</v>
      </c>
      <c r="V43" s="323">
        <f t="shared" si="6"/>
        <v>0</v>
      </c>
      <c r="W43" s="323">
        <f>IF('2. Invoer parameters'!$C$10="ja",MIA_BEV_A*L43,0)</f>
        <v>0</v>
      </c>
      <c r="Y43" s="323">
        <f>(F43*verz_die_bestel_klein)</f>
        <v>0</v>
      </c>
      <c r="Z43" s="319">
        <f>(MRB_die_bestel_klein*$F38)</f>
        <v>0</v>
      </c>
      <c r="AA43" s="323">
        <f>($D43*F43*(verbr_die_bestel_klein/100)*prijs_die)</f>
        <v>0</v>
      </c>
      <c r="AB43" s="323">
        <f>($D43*F43*Onderh_die_bestel_klein)</f>
        <v>0</v>
      </c>
      <c r="AC43" s="323">
        <f>Rest_perc*SUM(N43:O43)</f>
        <v>0</v>
      </c>
      <c r="AD43" s="325">
        <f>Rest_perc*SUM(N43:P43)</f>
        <v>0</v>
      </c>
      <c r="AE43" s="323">
        <f>IF(BTW_verrekening="Ja",((N43+O43)-AC43)/(looptijd*12),((N43+O43+P43)-AD43)/(looptijd*12))</f>
        <v>0</v>
      </c>
      <c r="AG43" s="323">
        <f>(J43*verz_die_bestel_klein)+(L43*verz_BEV_bestel_klein)</f>
        <v>0</v>
      </c>
      <c r="AH43" s="323">
        <f>(MRB_die_bestel_klein*J43)+(MRB_BEV*L43)</f>
        <v>0</v>
      </c>
      <c r="AI43" s="323">
        <f>($D43*J43*(verbr_die_bestel_klein/100)*prijs_die)+($D43*L43*(verbr_BEV_bestel_klein/100)*prijs_elek_berekening)</f>
        <v>0</v>
      </c>
      <c r="AJ43" s="323">
        <f>Rest_perc*SUM(S43:T43)</f>
        <v>0</v>
      </c>
      <c r="AK43" s="323">
        <f>Rest_perc*SUM(S43:U43)</f>
        <v>0</v>
      </c>
      <c r="AL43" s="323">
        <f>($D43*J43*Onderh_die_bestel_klein)+($D43*L43*Onderh_BEV_bestel_klein)</f>
        <v>0</v>
      </c>
      <c r="AM43" s="323">
        <f>IF(BTW_verrekening="Ja",((S43+T43-W43)-AJ43)/(looptijd*12),((S43+T43+U43)-AK43)/(looptijd*12))</f>
        <v>0</v>
      </c>
      <c r="AO43" s="326">
        <f>(Efac_die_TTW*(verbr_die_bestel_klein/100)*$D43*F43)</f>
        <v>0</v>
      </c>
      <c r="AP43" s="326">
        <f>(Efac_die_WTW*(verbr_die_bestel_klein/100)*$D43*F43)</f>
        <v>0</v>
      </c>
      <c r="AR43" s="326">
        <f>(Efac_die_TTW*(verbr_die_bestel_klein/100)*$D43*J43)+(Efac_elek_berekening_TTW*(verbr_BEV_bestel_klein/100)*$D43*L43)</f>
        <v>0</v>
      </c>
      <c r="AS43" s="326">
        <f>(Efac_die_WTW*(verbr_die_bestel_klein/100)*$D43*J43)+(Efac_elek_berekening_WTW*(verbr_BEV_bestel_klein/100)*$D43*L43)</f>
        <v>0</v>
      </c>
    </row>
    <row r="44" spans="1:45">
      <c r="A44" s="327">
        <v>38</v>
      </c>
      <c r="B44" s="327" t="s">
        <v>176</v>
      </c>
      <c r="C44" s="319">
        <v>20000</v>
      </c>
      <c r="D44" s="319">
        <f>$D$4</f>
        <v>20000</v>
      </c>
      <c r="E44" s="322">
        <f t="shared" si="3"/>
        <v>0</v>
      </c>
      <c r="F44" s="322">
        <v>0</v>
      </c>
      <c r="G44" s="322" t="str">
        <v>n.v.t.</v>
      </c>
      <c r="H44" s="322"/>
      <c r="I44" s="322">
        <f t="shared" si="4"/>
        <v>0</v>
      </c>
      <c r="J44" s="322">
        <v>0</v>
      </c>
      <c r="K44" s="322" t="str">
        <f t="shared" ref="K44:K46" si="22">G44</f>
        <v>n.v.t.</v>
      </c>
      <c r="L44" s="322">
        <f>E44</f>
        <v>0</v>
      </c>
      <c r="N44" s="323">
        <f>(Netto_cat_die_bestel_klein*F44)</f>
        <v>0</v>
      </c>
      <c r="O44" s="323">
        <f>(BPM_die_bestel_klein*F44)</f>
        <v>0</v>
      </c>
      <c r="P44" s="324">
        <f>BTW*N44</f>
        <v>0</v>
      </c>
      <c r="Q44" s="324">
        <f t="shared" si="5"/>
        <v>0</v>
      </c>
      <c r="S44" s="323">
        <f>(Netto_cat_die_bestel_klein*J44)+(Netto_cat_BEV_bestel_klein*L44)</f>
        <v>0</v>
      </c>
      <c r="T44" s="323">
        <f>(BPM_die_bestel_klein*J44)+(BPM_BEV*L44)</f>
        <v>0</v>
      </c>
      <c r="U44" s="323">
        <f t="shared" si="21"/>
        <v>0</v>
      </c>
      <c r="V44" s="323">
        <f t="shared" si="6"/>
        <v>0</v>
      </c>
      <c r="W44" s="323">
        <f>IF('2. Invoer parameters'!$C$10="ja",MIA_BEV_A*L44,0)</f>
        <v>0</v>
      </c>
      <c r="Y44" s="323">
        <f>(F44*verz_die_bestel_klein)</f>
        <v>0</v>
      </c>
      <c r="Z44" s="319">
        <f>(MRB_die_bestel_klein*$F39)</f>
        <v>0</v>
      </c>
      <c r="AA44" s="323">
        <f>($D44*F44*(verbr_die_bestel_klein/100)*prijs_die)</f>
        <v>0</v>
      </c>
      <c r="AB44" s="323">
        <f>($D44*F44*Onderh_die_bestel_klein)</f>
        <v>0</v>
      </c>
      <c r="AC44" s="323">
        <f>Rest_perc*SUM(N44:O44)</f>
        <v>0</v>
      </c>
      <c r="AD44" s="325">
        <f>Rest_perc*SUM(N44:P44)</f>
        <v>0</v>
      </c>
      <c r="AE44" s="323">
        <f>IF(BTW_verrekening="Ja",((N44+O44)-AC44)/(looptijd*12),((N44+O44+P44)-AD44)/(looptijd*12))</f>
        <v>0</v>
      </c>
      <c r="AG44" s="323">
        <f>(J44*verz_die_bestel_klein)+(L44*verz_BEV_bestel_klein)</f>
        <v>0</v>
      </c>
      <c r="AH44" s="323">
        <f>(MRB_die_bestel_klein*J44)+(MRB_BEV*L44)</f>
        <v>0</v>
      </c>
      <c r="AI44" s="323">
        <f>($D44*J44*(verbr_die_bestel_klein/100)*prijs_die)+($D44*L44*(verbr_BEV_bestel_klein/100)*prijs_elek_berekening)</f>
        <v>0</v>
      </c>
      <c r="AJ44" s="323">
        <f>Rest_perc*SUM(S44:T44)</f>
        <v>0</v>
      </c>
      <c r="AK44" s="323">
        <f>Rest_perc*SUM(S44:U44)</f>
        <v>0</v>
      </c>
      <c r="AL44" s="323">
        <f>($D44*J44*Onderh_die_bestel_klein)+($D44*L44*Onderh_BEV_bestel_klein)</f>
        <v>0</v>
      </c>
      <c r="AM44" s="323">
        <f>IF(BTW_verrekening="Ja",((S44+T44-W44)-AJ44)/(looptijd*12),((S44+T44+U44)-AK44)/(looptijd*12))</f>
        <v>0</v>
      </c>
      <c r="AO44" s="326">
        <f>(Efac_die_TTW*(verbr_die_bestel_klein/100)*$D44*F44)</f>
        <v>0</v>
      </c>
      <c r="AP44" s="326">
        <f>(Efac_die_WTW*(verbr_die_bestel_klein/100)*$D44*F44)</f>
        <v>0</v>
      </c>
      <c r="AR44" s="326">
        <f>(Efac_die_TTW*(verbr_die_bestel_klein/100)*$D44*J44)+(Efac_elek_berekening_TTW*(verbr_BEV_bestel_klein/100)*$D44*L44)</f>
        <v>0</v>
      </c>
      <c r="AS44" s="326">
        <f>(Efac_die_WTW*(verbr_die_bestel_klein/100)*$D44*J44)+(Efac_elek_berekening_WTW*(verbr_BEV_bestel_klein/100)*$D44*L44)</f>
        <v>0</v>
      </c>
    </row>
    <row r="45" spans="1:45">
      <c r="A45" s="327">
        <v>39</v>
      </c>
      <c r="B45" s="327" t="s">
        <v>176</v>
      </c>
      <c r="C45" s="319">
        <v>30000</v>
      </c>
      <c r="D45" s="319">
        <f>$D$5</f>
        <v>30000</v>
      </c>
      <c r="E45" s="322">
        <f t="shared" si="3"/>
        <v>0</v>
      </c>
      <c r="F45" s="322">
        <v>0</v>
      </c>
      <c r="G45" s="322" t="str">
        <v>n.v.t.</v>
      </c>
      <c r="H45" s="322"/>
      <c r="I45" s="322">
        <f t="shared" si="4"/>
        <v>0</v>
      </c>
      <c r="J45" s="322">
        <v>0</v>
      </c>
      <c r="K45" s="322" t="str">
        <f t="shared" si="22"/>
        <v>n.v.t.</v>
      </c>
      <c r="L45" s="322">
        <f>E45</f>
        <v>0</v>
      </c>
      <c r="N45" s="323">
        <f>(Netto_cat_die_bestel_klein*F45)</f>
        <v>0</v>
      </c>
      <c r="O45" s="323">
        <f>(BPM_die_bestel_klein*F45)</f>
        <v>0</v>
      </c>
      <c r="P45" s="324">
        <f>BTW*N45</f>
        <v>0</v>
      </c>
      <c r="Q45" s="324">
        <f t="shared" si="5"/>
        <v>0</v>
      </c>
      <c r="S45" s="323">
        <f>(Netto_cat_die_bestel_klein*J45)+(Netto_cat_BEV_bestel_klein*L45)</f>
        <v>0</v>
      </c>
      <c r="T45" s="323">
        <f>(BPM_die_bestel_klein*J45)+(BPM_BEV*L45)</f>
        <v>0</v>
      </c>
      <c r="U45" s="323">
        <f t="shared" si="21"/>
        <v>0</v>
      </c>
      <c r="V45" s="323">
        <f t="shared" si="6"/>
        <v>0</v>
      </c>
      <c r="W45" s="323">
        <f>IF('2. Invoer parameters'!$C$10="ja",MIA_BEV_A*L45,0)</f>
        <v>0</v>
      </c>
      <c r="Y45" s="323">
        <f>(F45*verz_die_bestel_klein)</f>
        <v>0</v>
      </c>
      <c r="Z45" s="319">
        <f>(MRB_die_bestel_klein*$F40)</f>
        <v>0</v>
      </c>
      <c r="AA45" s="323">
        <f>($D45*F45*(verbr_die_bestel_klein/100)*prijs_die)</f>
        <v>0</v>
      </c>
      <c r="AB45" s="323">
        <f>($D45*F45*Onderh_die_bestel_klein)</f>
        <v>0</v>
      </c>
      <c r="AC45" s="323">
        <f>Rest_perc*SUM(N45:O45)</f>
        <v>0</v>
      </c>
      <c r="AD45" s="325">
        <f>Rest_perc*SUM(N45:P45)</f>
        <v>0</v>
      </c>
      <c r="AE45" s="323">
        <f>IF(BTW_verrekening="Ja",((N45+O45)-AC45)/(looptijd*12),((N45+O45+P45)-AD45)/(looptijd*12))</f>
        <v>0</v>
      </c>
      <c r="AG45" s="323">
        <f>(J45*verz_die_bestel_klein)+(L45*verz_BEV_bestel_klein)</f>
        <v>0</v>
      </c>
      <c r="AH45" s="323">
        <f>(MRB_die_bestel_klein*J45)+(MRB_BEV*L45)</f>
        <v>0</v>
      </c>
      <c r="AI45" s="323">
        <f>($D45*J45*(verbr_die_bestel_klein/100)*prijs_die)+($D45*L45*(verbr_BEV_bestel_klein/100)*prijs_elek_berekening)</f>
        <v>0</v>
      </c>
      <c r="AJ45" s="323">
        <f>Rest_perc*SUM(S45:T45)</f>
        <v>0</v>
      </c>
      <c r="AK45" s="323">
        <f>Rest_perc*SUM(S45:U45)</f>
        <v>0</v>
      </c>
      <c r="AL45" s="323">
        <f>($D45*J45*Onderh_die_bestel_klein)+($D45*L45*Onderh_BEV_bestel_klein)</f>
        <v>0</v>
      </c>
      <c r="AM45" s="323">
        <f>IF(BTW_verrekening="Ja",((S45+T45-W45)-AJ45)/(looptijd*12),((S45+T45+U45)-AK45)/(looptijd*12))</f>
        <v>0</v>
      </c>
      <c r="AO45" s="326">
        <f>(Efac_die_TTW*(verbr_die_bestel_klein/100)*$D45*F45)</f>
        <v>0</v>
      </c>
      <c r="AP45" s="326">
        <f>(Efac_die_WTW*(verbr_die_bestel_klein/100)*$D45*F45)</f>
        <v>0</v>
      </c>
      <c r="AR45" s="326">
        <f>(Efac_die_TTW*(verbr_die_bestel_klein/100)*$D45*J45)+(Efac_elek_berekening_TTW*(verbr_BEV_bestel_klein/100)*$D45*L45)</f>
        <v>0</v>
      </c>
      <c r="AS45" s="326">
        <f>(Efac_die_WTW*(verbr_die_bestel_klein/100)*$D45*J45)+(Efac_elek_berekening_WTW*(verbr_BEV_bestel_klein/100)*$D45*L45)</f>
        <v>0</v>
      </c>
    </row>
    <row r="46" spans="1:45">
      <c r="A46" s="327">
        <v>40</v>
      </c>
      <c r="B46" s="327" t="s">
        <v>176</v>
      </c>
      <c r="C46" s="322" t="s">
        <v>396</v>
      </c>
      <c r="D46" s="319">
        <f>$D$6</f>
        <v>40000</v>
      </c>
      <c r="E46" s="322">
        <f t="shared" si="3"/>
        <v>0</v>
      </c>
      <c r="F46" s="322">
        <v>0</v>
      </c>
      <c r="G46" s="322" t="str">
        <v>n.v.t.</v>
      </c>
      <c r="H46" s="322"/>
      <c r="I46" s="322">
        <f t="shared" si="4"/>
        <v>0</v>
      </c>
      <c r="J46" s="322">
        <v>0</v>
      </c>
      <c r="K46" s="322" t="str">
        <f t="shared" si="22"/>
        <v>n.v.t.</v>
      </c>
      <c r="L46" s="322">
        <f>E46</f>
        <v>0</v>
      </c>
      <c r="N46" s="323">
        <f>(Netto_cat_die_bestel_klein*F46)</f>
        <v>0</v>
      </c>
      <c r="O46" s="323">
        <f>(BPM_die_bestel_klein*F46)</f>
        <v>0</v>
      </c>
      <c r="P46" s="324">
        <f>BTW*N46</f>
        <v>0</v>
      </c>
      <c r="Q46" s="324">
        <f t="shared" si="5"/>
        <v>0</v>
      </c>
      <c r="S46" s="323">
        <f>(Netto_cat_die_bestel_klein*J46)+(Netto_cat_BEV_bestel_klein*L46)</f>
        <v>0</v>
      </c>
      <c r="T46" s="323">
        <f>(BPM_die_bestel_klein*J46)+(BPM_BEV*L46)</f>
        <v>0</v>
      </c>
      <c r="U46" s="323">
        <f t="shared" si="21"/>
        <v>0</v>
      </c>
      <c r="V46" s="323">
        <f t="shared" si="6"/>
        <v>0</v>
      </c>
      <c r="W46" s="323">
        <f>IF('2. Invoer parameters'!$C$10="ja",MIA_BEV_A*L46,0)</f>
        <v>0</v>
      </c>
      <c r="Y46" s="323">
        <f>(F46*verz_die_bestel_klein)</f>
        <v>0</v>
      </c>
      <c r="Z46" s="319">
        <f>(MRB_die_bestel_klein*$F41)</f>
        <v>0</v>
      </c>
      <c r="AA46" s="323">
        <f>($D46*F46*(verbr_die_bestel_klein/100)*prijs_die)</f>
        <v>0</v>
      </c>
      <c r="AB46" s="323">
        <f>($D46*F46*Onderh_die_bestel_klein)</f>
        <v>0</v>
      </c>
      <c r="AC46" s="323">
        <f>Rest_perc*SUM(N46:O46)</f>
        <v>0</v>
      </c>
      <c r="AD46" s="325">
        <f>Rest_perc*SUM(N46:P46)</f>
        <v>0</v>
      </c>
      <c r="AE46" s="323">
        <f>IF(BTW_verrekening="Ja",((N46+O46)-AC46)/(looptijd*12),((N46+O46+P46)-AD46)/(looptijd*12))</f>
        <v>0</v>
      </c>
      <c r="AG46" s="323">
        <f>(J46*verz_die_bestel_klein)+(L46*verz_BEV_bestel_klein)</f>
        <v>0</v>
      </c>
      <c r="AH46" s="323">
        <f>(MRB_die_bestel_klein*J46)+(MRB_BEV*L46)</f>
        <v>0</v>
      </c>
      <c r="AI46" s="323">
        <f>($D46*J46*(verbr_die_bestel_klein/100)*prijs_die)+($D46*L46*(verbr_BEV_bestel_klein/100)*prijs_elek_berekening)</f>
        <v>0</v>
      </c>
      <c r="AJ46" s="323">
        <f>Rest_perc*SUM(S46:T46)</f>
        <v>0</v>
      </c>
      <c r="AK46" s="323">
        <f>Rest_perc*SUM(S46:U46)</f>
        <v>0</v>
      </c>
      <c r="AL46" s="323">
        <f>($D46*J46*Onderh_die_bestel_klein)+($D46*L46*Onderh_BEV_bestel_klein)</f>
        <v>0</v>
      </c>
      <c r="AM46" s="323">
        <f>IF(BTW_verrekening="Ja",((S46+T46-W46)-AJ46)/(looptijd*12),((S46+T46+U46)-AK46)/(looptijd*12))</f>
        <v>0</v>
      </c>
      <c r="AO46" s="326">
        <f>(Efac_die_TTW*(verbr_die_bestel_klein/100)*$D46*F46)</f>
        <v>0</v>
      </c>
      <c r="AP46" s="326">
        <f>(Efac_die_WTW*(verbr_die_bestel_klein/100)*$D46*F46)</f>
        <v>0</v>
      </c>
      <c r="AR46" s="326">
        <f>(Efac_die_TTW*(verbr_die_bestel_klein/100)*$D46*J46)+(Efac_elek_berekening_TTW*(verbr_BEV_bestel_klein/100)*$D46*L46)</f>
        <v>0</v>
      </c>
      <c r="AS46" s="326">
        <f>(Efac_die_WTW*(verbr_die_bestel_klein/100)*$D46*J46)+(Efac_elek_berekening_WTW*(verbr_BEV_bestel_klein/100)*$D46*L46)</f>
        <v>0</v>
      </c>
    </row>
    <row r="47" spans="1:45">
      <c r="E47" s="322"/>
      <c r="F47" s="322"/>
      <c r="G47" s="322"/>
      <c r="H47" s="322"/>
      <c r="I47" s="322"/>
      <c r="J47" s="322"/>
      <c r="K47" s="322"/>
      <c r="L47" s="322"/>
      <c r="P47" s="324"/>
      <c r="Q47" s="324"/>
      <c r="U47" s="323"/>
      <c r="V47" s="323"/>
      <c r="W47" s="323"/>
      <c r="AC47" s="323"/>
      <c r="AD47" s="325"/>
      <c r="AE47" s="323"/>
      <c r="AG47" s="323"/>
      <c r="AJ47" s="323"/>
      <c r="AK47" s="323"/>
      <c r="AM47" s="323"/>
      <c r="AO47" s="326"/>
    </row>
    <row r="48" spans="1:45">
      <c r="A48" s="327">
        <v>41</v>
      </c>
      <c r="B48" s="327" t="s">
        <v>177</v>
      </c>
      <c r="C48" s="319">
        <v>10000</v>
      </c>
      <c r="D48" s="319">
        <f>$D$3</f>
        <v>10000</v>
      </c>
      <c r="E48" s="322">
        <f t="shared" si="3"/>
        <v>0</v>
      </c>
      <c r="F48" s="322">
        <f t="array" ref="F48:F51">TRANSPOSE('1. Invoer wagenpark'!H14:K14)</f>
        <v>0</v>
      </c>
      <c r="G48" s="322" t="str">
        <f t="array" ref="G48:G51">TRANSPOSE('1. Invoer wagenpark'!D14:G14)</f>
        <v>n.v.t.</v>
      </c>
      <c r="H48" s="322"/>
      <c r="I48" s="322">
        <f>SUM(J48:L48)</f>
        <v>0</v>
      </c>
      <c r="J48" s="322">
        <v>0</v>
      </c>
      <c r="K48" s="322" t="str">
        <f>G48</f>
        <v>n.v.t.</v>
      </c>
      <c r="L48" s="322">
        <f>E48</f>
        <v>0</v>
      </c>
      <c r="N48" s="323">
        <f>(Netto_cat_die_bestel_middel*F48)</f>
        <v>0</v>
      </c>
      <c r="O48" s="323">
        <f>(BPM_die_bestel_middel*F48)</f>
        <v>0</v>
      </c>
      <c r="P48" s="324">
        <f>BTW*N48</f>
        <v>0</v>
      </c>
      <c r="Q48" s="324">
        <f t="shared" si="5"/>
        <v>0</v>
      </c>
      <c r="S48" s="323">
        <f>(Netto_cat_die_bestel_middel*J48)+(Netto_cat_BEV_bestel_middel*L48)</f>
        <v>0</v>
      </c>
      <c r="T48" s="323">
        <f>(BPM_die_bestel_middel*J48)+(BPM_BEV*L48)</f>
        <v>0</v>
      </c>
      <c r="U48" s="323">
        <f t="shared" si="21"/>
        <v>0</v>
      </c>
      <c r="V48" s="323">
        <f t="shared" si="6"/>
        <v>0</v>
      </c>
      <c r="W48" s="323">
        <f>IF('2. Invoer parameters'!$C$10="ja",MIA_BEV_A*L48,0)</f>
        <v>0</v>
      </c>
      <c r="Y48" s="323">
        <f>(F48*verz_die_bestel_middel)</f>
        <v>0</v>
      </c>
      <c r="Z48" s="319">
        <f>(MRB_die_bestel_middel*$F38)</f>
        <v>0</v>
      </c>
      <c r="AA48" s="323">
        <f>($D48*F48*(verbr_die_bestel_middel/100)*prijs_die)</f>
        <v>0</v>
      </c>
      <c r="AB48" s="323">
        <f>($D48*F48*Onderh_die_bestel_middel)</f>
        <v>0</v>
      </c>
      <c r="AC48" s="323">
        <f>Rest_perc*SUM(N48:O48)</f>
        <v>0</v>
      </c>
      <c r="AD48" s="325">
        <f>Rest_perc*SUM(N48:P48)</f>
        <v>0</v>
      </c>
      <c r="AE48" s="323">
        <f>IF(BTW_verrekening="Ja",((N48+O48)-AC48)/(looptijd*12),((N48+O48+P48)-AD48)/(looptijd*12))</f>
        <v>0</v>
      </c>
      <c r="AG48" s="323">
        <f>(J48*verz_die_bestel_middel)+(L48*verz_BEV_bestel_middel)</f>
        <v>0</v>
      </c>
      <c r="AH48" s="323">
        <f>(MRB_die_bestel_middel*J48)+(MRB_BEV*L48)</f>
        <v>0</v>
      </c>
      <c r="AI48" s="323">
        <f>($D48*J48*(verbr_die_bestel_middel/100)*prijs_die)+($D48*L48*(verbr_BEV_bestel_middel/100)*prijs_elek_berekening)</f>
        <v>0</v>
      </c>
      <c r="AJ48" s="323">
        <f>Rest_perc*SUM(S48:T48)</f>
        <v>0</v>
      </c>
      <c r="AK48" s="323">
        <f>Rest_perc*SUM(S48:U48)</f>
        <v>0</v>
      </c>
      <c r="AL48" s="323">
        <f>($D48*J48*Onderh_die_bestel_middel)+($D48*L48*Onderh_BEV_bestel_middel)</f>
        <v>0</v>
      </c>
      <c r="AM48" s="323">
        <f>IF(BTW_verrekening="Ja",((S48+T48-W48)-AJ48)/(looptijd*12),((S48+T48+U48)-AK48)/(looptijd*12))</f>
        <v>0</v>
      </c>
      <c r="AO48" s="326">
        <f>(Efac_die_TTW*(verbr_die_bestel_middel/100)*$D48*F48)</f>
        <v>0</v>
      </c>
      <c r="AP48" s="326">
        <f>(Efac_die_WTW*(verbr_die_bestel_middel/100)*$D48*F48)</f>
        <v>0</v>
      </c>
      <c r="AR48" s="326">
        <f>(Efac_die_TTW*(verbr_die_bestel_middel/100)*$D48*J48)+(Efac_elek_berekening_TTW*(verbr_BEV_bestel_middel/100)*$D48*L48)</f>
        <v>0</v>
      </c>
      <c r="AS48" s="326">
        <f>(Efac_die_WTW*(verbr_die_bestel_middel/100)*$D48*J48)+(Efac_elek_berekening_WTW*(verbr_BEV_bestel_middel/100)*$D48*L48)</f>
        <v>0</v>
      </c>
    </row>
    <row r="49" spans="1:45">
      <c r="A49" s="327">
        <v>42</v>
      </c>
      <c r="B49" s="327" t="s">
        <v>177</v>
      </c>
      <c r="C49" s="319">
        <v>20000</v>
      </c>
      <c r="D49" s="319">
        <f>$D$4</f>
        <v>20000</v>
      </c>
      <c r="E49" s="322">
        <f t="shared" si="3"/>
        <v>0</v>
      </c>
      <c r="F49" s="322">
        <v>0</v>
      </c>
      <c r="G49" s="322" t="str">
        <v>n.v.t.</v>
      </c>
      <c r="H49" s="322"/>
      <c r="I49" s="322">
        <f t="shared" ref="I49:I51" si="23">SUM(J49:L49)</f>
        <v>0</v>
      </c>
      <c r="J49" s="322">
        <v>0</v>
      </c>
      <c r="K49" s="322" t="str">
        <f t="shared" ref="K49:K51" si="24">G49</f>
        <v>n.v.t.</v>
      </c>
      <c r="L49" s="322">
        <f>E49</f>
        <v>0</v>
      </c>
      <c r="N49" s="323">
        <f>(Netto_cat_die_bestel_middel*F49)</f>
        <v>0</v>
      </c>
      <c r="O49" s="323">
        <f>(BPM_die_bestel_middel*F49)</f>
        <v>0</v>
      </c>
      <c r="P49" s="324">
        <f>BTW*N49</f>
        <v>0</v>
      </c>
      <c r="Q49" s="324">
        <f t="shared" si="5"/>
        <v>0</v>
      </c>
      <c r="S49" s="323">
        <f>(Netto_cat_die_bestel_middel*J49)+(Netto_cat_BEV_bestel_middel*L49)</f>
        <v>0</v>
      </c>
      <c r="T49" s="323">
        <f>(BPM_die_bestel_middel*J49)+(BPM_BEV*L49)</f>
        <v>0</v>
      </c>
      <c r="U49" s="323">
        <f>BTW*S49</f>
        <v>0</v>
      </c>
      <c r="V49" s="323">
        <f t="shared" si="6"/>
        <v>0</v>
      </c>
      <c r="W49" s="323">
        <f>IF('2. Invoer parameters'!$C$10="ja",MIA_BEV_A*L49,0)</f>
        <v>0</v>
      </c>
      <c r="Y49" s="323">
        <f>(F49*verz_die_bestel_middel)</f>
        <v>0</v>
      </c>
      <c r="Z49" s="319">
        <f>(MRB_die_bestel_middel*$F39)</f>
        <v>0</v>
      </c>
      <c r="AA49" s="323">
        <f>($D49*F49*(verbr_die_bestel_middel/100)*prijs_die)</f>
        <v>0</v>
      </c>
      <c r="AB49" s="323">
        <f>($D49*F49*Onderh_die_bestel_middel)</f>
        <v>0</v>
      </c>
      <c r="AC49" s="323">
        <f>Rest_perc*SUM(N49:O49)</f>
        <v>0</v>
      </c>
      <c r="AD49" s="325">
        <f>Rest_perc*SUM(N49:P49)</f>
        <v>0</v>
      </c>
      <c r="AE49" s="323">
        <f>IF(BTW_verrekening="Ja",((N49+O49)-AC49)/(looptijd*12),((N49+O49+P49)-AD49)/(looptijd*12))</f>
        <v>0</v>
      </c>
      <c r="AG49" s="323">
        <f>(J49*verz_die_bestel_middel)+(L49*verz_BEV_bestel_middel)</f>
        <v>0</v>
      </c>
      <c r="AH49" s="323">
        <f>(MRB_die_bestel_middel*J49)+(MRB_BEV*L49)</f>
        <v>0</v>
      </c>
      <c r="AI49" s="323">
        <f>($D49*J49*(verbr_die_bestel_middel/100)*prijs_die)+($D49*L49*(verbr_BEV_bestel_middel/100)*prijs_elek_berekening)</f>
        <v>0</v>
      </c>
      <c r="AJ49" s="323">
        <f>Rest_perc*SUM(S49:T49)</f>
        <v>0</v>
      </c>
      <c r="AK49" s="323">
        <f>Rest_perc*SUM(S49:U49)</f>
        <v>0</v>
      </c>
      <c r="AL49" s="323">
        <f>($D49*J49*Onderh_die_bestel_middel)+($D49*L49*Onderh_BEV_bestel_middel)</f>
        <v>0</v>
      </c>
      <c r="AM49" s="323">
        <f>IF(BTW_verrekening="Ja",((S49+T49-W49)-AJ49)/(looptijd*12),((S49+T49+U49)-AK49)/(looptijd*12))</f>
        <v>0</v>
      </c>
      <c r="AO49" s="326">
        <f>(Efac_die_TTW*(verbr_die_bestel_middel/100)*$D49*F49)</f>
        <v>0</v>
      </c>
      <c r="AP49" s="326">
        <f>(Efac_die_WTW*(verbr_die_bestel_middel/100)*$D49*F49)</f>
        <v>0</v>
      </c>
      <c r="AR49" s="326">
        <f>(Efac_die_TTW*(verbr_die_bestel_middel/100)*$D49*J49)+(Efac_elek_berekening_TTW*(verbr_BEV_bestel_middel/100)*$D49*L49)</f>
        <v>0</v>
      </c>
      <c r="AS49" s="326">
        <f>(Efac_die_WTW*(verbr_die_bestel_middel/100)*$D49*J49)+(Efac_elek_berekening_WTW*(verbr_BEV_bestel_middel/100)*$D49*L49)</f>
        <v>0</v>
      </c>
    </row>
    <row r="50" spans="1:45">
      <c r="A50" s="327">
        <v>43</v>
      </c>
      <c r="B50" s="327" t="s">
        <v>177</v>
      </c>
      <c r="C50" s="319">
        <v>30000</v>
      </c>
      <c r="D50" s="319">
        <f>$D$5</f>
        <v>30000</v>
      </c>
      <c r="E50" s="322">
        <f t="shared" si="3"/>
        <v>0</v>
      </c>
      <c r="F50" s="322">
        <v>0</v>
      </c>
      <c r="G50" s="322" t="str">
        <v>n.v.t.</v>
      </c>
      <c r="H50" s="322"/>
      <c r="I50" s="322">
        <f t="shared" si="23"/>
        <v>0</v>
      </c>
      <c r="J50" s="322">
        <v>0</v>
      </c>
      <c r="K50" s="322" t="str">
        <f t="shared" si="24"/>
        <v>n.v.t.</v>
      </c>
      <c r="L50" s="322">
        <f>E50</f>
        <v>0</v>
      </c>
      <c r="N50" s="323">
        <f>(Netto_cat_die_bestel_middel*F50)</f>
        <v>0</v>
      </c>
      <c r="O50" s="323">
        <f>(BPM_die_bestel_middel*F50)</f>
        <v>0</v>
      </c>
      <c r="P50" s="324">
        <f>BTW*N50</f>
        <v>0</v>
      </c>
      <c r="Q50" s="324">
        <f t="shared" si="5"/>
        <v>0</v>
      </c>
      <c r="S50" s="323">
        <f>(Netto_cat_die_bestel_middel*J50)+(Netto_cat_BEV_bestel_middel*L50)</f>
        <v>0</v>
      </c>
      <c r="T50" s="323">
        <f>(BPM_die_bestel_middel*J50)+(BPM_BEV*L50)</f>
        <v>0</v>
      </c>
      <c r="U50" s="323">
        <f t="shared" si="21"/>
        <v>0</v>
      </c>
      <c r="V50" s="323">
        <f t="shared" si="6"/>
        <v>0</v>
      </c>
      <c r="W50" s="323">
        <f>IF('2. Invoer parameters'!$C$10="ja",MIA_BEV_A*L50,0)</f>
        <v>0</v>
      </c>
      <c r="Y50" s="323">
        <f>(F50*verz_die_bestel_middel)</f>
        <v>0</v>
      </c>
      <c r="Z50" s="319">
        <f>(MRB_die_bestel_middel*$F40)</f>
        <v>0</v>
      </c>
      <c r="AA50" s="323">
        <f>($D50*F50*(verbr_die_bestel_middel/100)*prijs_die)</f>
        <v>0</v>
      </c>
      <c r="AB50" s="323">
        <f>($D50*F50*Onderh_die_bestel_middel)</f>
        <v>0</v>
      </c>
      <c r="AC50" s="323">
        <f>Rest_perc*SUM(N50:O50)</f>
        <v>0</v>
      </c>
      <c r="AD50" s="325">
        <f>Rest_perc*SUM(N50:P50)</f>
        <v>0</v>
      </c>
      <c r="AE50" s="323">
        <f>IF(BTW_verrekening="Ja",((N50+O50)-AC50)/(looptijd*12),((N50+O50+P50)-AD50)/(looptijd*12))</f>
        <v>0</v>
      </c>
      <c r="AG50" s="323">
        <f>(J50*verz_die_bestel_middel)+(L50*verz_BEV_bestel_middel)</f>
        <v>0</v>
      </c>
      <c r="AH50" s="323">
        <f>(MRB_die_bestel_middel*J50)+(MRB_BEV*L50)</f>
        <v>0</v>
      </c>
      <c r="AI50" s="323">
        <f>($D50*J50*(verbr_die_bestel_middel/100)*prijs_die)+($D50*L50*(verbr_BEV_bestel_middel/100)*prijs_elek_berekening)</f>
        <v>0</v>
      </c>
      <c r="AJ50" s="323">
        <f>Rest_perc*SUM(S50:T50)</f>
        <v>0</v>
      </c>
      <c r="AK50" s="323">
        <f>Rest_perc*SUM(S50:U50)</f>
        <v>0</v>
      </c>
      <c r="AL50" s="323">
        <f>($D50*J50*Onderh_die_bestel_middel)+($D50*L50*Onderh_BEV_bestel_middel)</f>
        <v>0</v>
      </c>
      <c r="AM50" s="323">
        <f>IF(BTW_verrekening="Ja",((S50+T50-W50)-AJ50)/(looptijd*12),((S50+T50+U50)-AK50)/(looptijd*12))</f>
        <v>0</v>
      </c>
      <c r="AO50" s="326">
        <f>(Efac_die_TTW*(verbr_die_bestel_middel/100)*$D50*F50)</f>
        <v>0</v>
      </c>
      <c r="AP50" s="326">
        <f>(Efac_die_WTW*(verbr_die_bestel_middel/100)*$D50*F50)</f>
        <v>0</v>
      </c>
      <c r="AR50" s="326">
        <f>(Efac_die_TTW*(verbr_die_bestel_middel/100)*$D50*J50)+(Efac_elek_berekening_TTW*(verbr_BEV_bestel_middel/100)*$D50*L50)</f>
        <v>0</v>
      </c>
      <c r="AS50" s="326">
        <f>(Efac_die_WTW*(verbr_die_bestel_middel/100)*$D50*J50)+(Efac_elek_berekening_WTW*(verbr_BEV_bestel_middel/100)*$D50*L50)</f>
        <v>0</v>
      </c>
    </row>
    <row r="51" spans="1:45">
      <c r="A51" s="327">
        <v>44</v>
      </c>
      <c r="B51" s="327" t="s">
        <v>177</v>
      </c>
      <c r="C51" s="322" t="s">
        <v>396</v>
      </c>
      <c r="D51" s="319">
        <f>$D$6</f>
        <v>40000</v>
      </c>
      <c r="E51" s="322">
        <f t="shared" si="3"/>
        <v>0</v>
      </c>
      <c r="F51" s="322">
        <v>0</v>
      </c>
      <c r="G51" s="322" t="str">
        <v>n.v.t.</v>
      </c>
      <c r="H51" s="322"/>
      <c r="I51" s="322">
        <f t="shared" si="23"/>
        <v>0</v>
      </c>
      <c r="J51" s="322">
        <v>0</v>
      </c>
      <c r="K51" s="322" t="str">
        <f t="shared" si="24"/>
        <v>n.v.t.</v>
      </c>
      <c r="L51" s="322">
        <f>E51</f>
        <v>0</v>
      </c>
      <c r="N51" s="323">
        <f>(Netto_cat_die_bestel_middel*F51)</f>
        <v>0</v>
      </c>
      <c r="O51" s="323">
        <f>(BPM_die_bestel_middel*F51)</f>
        <v>0</v>
      </c>
      <c r="P51" s="324">
        <f>BTW*N51</f>
        <v>0</v>
      </c>
      <c r="Q51" s="324">
        <f t="shared" si="5"/>
        <v>0</v>
      </c>
      <c r="S51" s="323">
        <f>(Netto_cat_die_bestel_middel*J51)+(Netto_cat_BEV_bestel_middel*L51)</f>
        <v>0</v>
      </c>
      <c r="T51" s="323">
        <f>(BPM_die_bestel_middel*J51)+(BPM_BEV*L51)</f>
        <v>0</v>
      </c>
      <c r="U51" s="323">
        <f t="shared" si="21"/>
        <v>0</v>
      </c>
      <c r="V51" s="323">
        <f t="shared" si="6"/>
        <v>0</v>
      </c>
      <c r="W51" s="323">
        <f>IF('2. Invoer parameters'!$C$10="ja",MIA_BEV_A*L51,0)</f>
        <v>0</v>
      </c>
      <c r="Y51" s="323">
        <f>(F51*verz_die_bestel_middel)</f>
        <v>0</v>
      </c>
      <c r="Z51" s="319">
        <f>(MRB_die_bestel_middel*$F41)</f>
        <v>0</v>
      </c>
      <c r="AA51" s="323">
        <f>($D51*F51*(verbr_die_bestel_middel/100)*prijs_die)</f>
        <v>0</v>
      </c>
      <c r="AB51" s="323">
        <f>($D51*F51*Onderh_die_bestel_middel)</f>
        <v>0</v>
      </c>
      <c r="AC51" s="323">
        <f>Rest_perc*SUM(N51:O51)</f>
        <v>0</v>
      </c>
      <c r="AD51" s="325">
        <f>Rest_perc*SUM(N51:P51)</f>
        <v>0</v>
      </c>
      <c r="AE51" s="323">
        <f>IF(BTW_verrekening="Ja",((N51+O51)-AC51)/(looptijd*12),((N51+O51+P51)-AD51)/(looptijd*12))</f>
        <v>0</v>
      </c>
      <c r="AG51" s="323">
        <f>(J51*verz_die_bestel_middel)+(L51*verz_BEV_bestel_middel)</f>
        <v>0</v>
      </c>
      <c r="AH51" s="323">
        <f>(MRB_die_bestel_middel*J51)+(MRB_BEV*L51)</f>
        <v>0</v>
      </c>
      <c r="AI51" s="323">
        <f>($D51*J51*(verbr_die_bestel_middel/100)*prijs_die)+($D51*L51*(verbr_BEV_bestel_middel/100)*prijs_elek_berekening)</f>
        <v>0</v>
      </c>
      <c r="AJ51" s="323">
        <f>Rest_perc*SUM(S51:T51)</f>
        <v>0</v>
      </c>
      <c r="AK51" s="323">
        <f>Rest_perc*SUM(S51:U51)</f>
        <v>0</v>
      </c>
      <c r="AL51" s="323">
        <f>($D51*J51*Onderh_die_bestel_middel)+($D51*L51*Onderh_BEV_bestel_middel)</f>
        <v>0</v>
      </c>
      <c r="AM51" s="323">
        <f>IF(BTW_verrekening="Ja",((S51+T51-W51)-AJ51)/(looptijd*12),((S51+T51+U51)-AK51)/(looptijd*12))</f>
        <v>0</v>
      </c>
      <c r="AO51" s="326">
        <f>(Efac_die_TTW*(verbr_die_bestel_middel/100)*$D51*F51)</f>
        <v>0</v>
      </c>
      <c r="AP51" s="326">
        <f>(Efac_die_WTW*(verbr_die_bestel_middel/100)*$D51*F51)</f>
        <v>0</v>
      </c>
      <c r="AR51" s="326">
        <f>(Efac_die_TTW*(verbr_die_bestel_middel/100)*$D51*J51)+(Efac_elek_berekening_TTW*(verbr_BEV_bestel_middel/100)*$D51*L51)</f>
        <v>0</v>
      </c>
      <c r="AS51" s="326">
        <f>(Efac_die_WTW*(verbr_die_bestel_middel/100)*$D51*J51)+(Efac_elek_berekening_WTW*(verbr_BEV_bestel_middel/100)*$D51*L51)</f>
        <v>0</v>
      </c>
    </row>
    <row r="52" spans="1:45">
      <c r="A52" s="327"/>
      <c r="E52" s="322"/>
      <c r="F52" s="322"/>
      <c r="G52" s="322"/>
      <c r="H52" s="322"/>
      <c r="I52" s="322"/>
      <c r="J52" s="322"/>
      <c r="K52" s="322"/>
      <c r="L52" s="322"/>
      <c r="P52" s="324"/>
      <c r="Q52" s="324"/>
      <c r="U52" s="323"/>
      <c r="V52" s="323"/>
      <c r="W52" s="323"/>
      <c r="AC52" s="323"/>
      <c r="AD52" s="325"/>
      <c r="AE52" s="323"/>
      <c r="AG52" s="323"/>
      <c r="AJ52" s="323"/>
      <c r="AK52" s="323"/>
      <c r="AL52" s="323"/>
      <c r="AM52" s="323"/>
    </row>
    <row r="53" spans="1:45">
      <c r="A53" s="327">
        <v>45</v>
      </c>
      <c r="B53" s="327" t="s">
        <v>178</v>
      </c>
      <c r="C53" s="319">
        <v>10000</v>
      </c>
      <c r="D53" s="319">
        <f>$D$3</f>
        <v>10000</v>
      </c>
      <c r="E53" s="322">
        <f t="shared" si="3"/>
        <v>0</v>
      </c>
      <c r="F53" s="322">
        <f t="array" ref="F53:F56">TRANSPOSE('1. Invoer wagenpark'!H15:K15)</f>
        <v>0</v>
      </c>
      <c r="G53" s="322" t="str">
        <f t="array" ref="G53:G56">TRANSPOSE('1. Invoer wagenpark'!D15:G15)</f>
        <v>n.v.t.</v>
      </c>
      <c r="H53" s="322"/>
      <c r="I53" s="322">
        <f>SUM(J53:L53)</f>
        <v>0</v>
      </c>
      <c r="J53" s="322">
        <v>0</v>
      </c>
      <c r="K53" s="322" t="str">
        <f>G53</f>
        <v>n.v.t.</v>
      </c>
      <c r="L53" s="322">
        <f>E53</f>
        <v>0</v>
      </c>
      <c r="N53" s="323">
        <f>(Netto_cat_die_bestel_groot*F53)</f>
        <v>0</v>
      </c>
      <c r="O53" s="323">
        <f>(BPM_die_bestel_groot*F53)</f>
        <v>0</v>
      </c>
      <c r="P53" s="324">
        <f>BTW*N53</f>
        <v>0</v>
      </c>
      <c r="Q53" s="324">
        <f t="shared" si="5"/>
        <v>0</v>
      </c>
      <c r="S53" s="323">
        <f>(Netto_cat_die_bestel_groot*J53)+(Netto_cat_BEV_bestel_groot*L53)</f>
        <v>0</v>
      </c>
      <c r="T53" s="323">
        <f>(BPM_die_bestel_groot*J53)+(BPM_BEV*L53)</f>
        <v>0</v>
      </c>
      <c r="U53" s="323">
        <f>BTW*S53</f>
        <v>0</v>
      </c>
      <c r="V53" s="323">
        <f t="shared" si="6"/>
        <v>0</v>
      </c>
      <c r="W53" s="323">
        <f>IF('2. Invoer parameters'!$C$10="ja",MIA_BEV_A*L53,0)</f>
        <v>0</v>
      </c>
      <c r="Y53" s="323">
        <f>(F53*verz_die_bestel_groot)</f>
        <v>0</v>
      </c>
      <c r="Z53" s="319">
        <f>(MRB_die_bestel_groot*$F38)</f>
        <v>0</v>
      </c>
      <c r="AA53" s="323">
        <f>($D53*F53*(verbr_die_bestel_groot/100)*prijs_die)</f>
        <v>0</v>
      </c>
      <c r="AB53" s="323">
        <f>($D53*F53*Onderh_die_bestel_groot)</f>
        <v>0</v>
      </c>
      <c r="AC53" s="323">
        <f>Rest_perc*SUM(N53:O53)</f>
        <v>0</v>
      </c>
      <c r="AD53" s="325">
        <f>Rest_perc*SUM(N53:P53)</f>
        <v>0</v>
      </c>
      <c r="AE53" s="323">
        <f>IF(BTW_verrekening="Ja",((N53+O53)-AC53)/(looptijd*12),((N53+O53+P53)-AD53)/(looptijd*12))</f>
        <v>0</v>
      </c>
      <c r="AG53" s="323">
        <f>(J53*verz_die_bestel_groot)+(L53*verz_BEV_bestel_groot)</f>
        <v>0</v>
      </c>
      <c r="AH53" s="323">
        <f>(MRB_die_bestel_groot*J53)+(MRB_BEV*L53)</f>
        <v>0</v>
      </c>
      <c r="AI53" s="323">
        <f>($D53*J53*(verbr_die_bestel_groot/100)*prijs_die)+($D53*L53*(verbr_BEV_bestel_groot/100)*prijs_elek_berekening)</f>
        <v>0</v>
      </c>
      <c r="AJ53" s="323">
        <f>Rest_perc*SUM(S53:T53)</f>
        <v>0</v>
      </c>
      <c r="AK53" s="323">
        <f>Rest_perc*SUM(S53:U53)</f>
        <v>0</v>
      </c>
      <c r="AL53" s="323">
        <f>($D53*J53*Onderh_die_bestel_groot)+($D53*L53*Onderh_BEV_bestel_groot)</f>
        <v>0</v>
      </c>
      <c r="AM53" s="323">
        <f>IF(BTW_verrekening="Ja",((S53+T53-W53)-AJ53)/(looptijd*12),((S53+T53+U53)-AK53)/(looptijd*12))</f>
        <v>0</v>
      </c>
      <c r="AO53" s="326">
        <f>(Efac_die_TTW*(verbr_die_bestel_groot/100)*$D53*F53)</f>
        <v>0</v>
      </c>
      <c r="AP53" s="326">
        <f>(Efac_die_WTW*(verbr_die_bestel_groot/100)*$D53*F53)</f>
        <v>0</v>
      </c>
      <c r="AR53" s="326">
        <f>(Efac_die_TTW*(verbr_die_bestel_groot/100)*$D53*J53)+(Efac_elek_berekening_TTW*(verbr_BEV_bestel_groot/100)*$D53*L53)</f>
        <v>0</v>
      </c>
      <c r="AS53" s="326">
        <f>(Efac_die_WTW*(verbr_die_bestel_groot/100)*$D53*J53)+(Efac_elek_berekening_WTW*(verbr_BEV_bestel_groot/100)*$D53*L53)</f>
        <v>0</v>
      </c>
    </row>
    <row r="54" spans="1:45">
      <c r="A54" s="327">
        <v>46</v>
      </c>
      <c r="B54" s="327" t="s">
        <v>178</v>
      </c>
      <c r="C54" s="319">
        <v>20000</v>
      </c>
      <c r="D54" s="319">
        <f>$D$4</f>
        <v>20000</v>
      </c>
      <c r="E54" s="322">
        <f t="shared" si="3"/>
        <v>0</v>
      </c>
      <c r="F54" s="322">
        <v>0</v>
      </c>
      <c r="G54" s="322" t="str">
        <v>n.v.t.</v>
      </c>
      <c r="H54" s="322"/>
      <c r="I54" s="322">
        <f t="shared" ref="I54:I56" si="25">SUM(J54:L54)</f>
        <v>0</v>
      </c>
      <c r="J54" s="322">
        <v>0</v>
      </c>
      <c r="K54" s="322" t="str">
        <f t="shared" ref="K54:K56" si="26">G54</f>
        <v>n.v.t.</v>
      </c>
      <c r="L54" s="322">
        <f>E54</f>
        <v>0</v>
      </c>
      <c r="N54" s="323">
        <f>(Netto_cat_die_bestel_groot*F54)</f>
        <v>0</v>
      </c>
      <c r="O54" s="323">
        <f>(BPM_die_bestel_groot*F54)</f>
        <v>0</v>
      </c>
      <c r="P54" s="324">
        <f>BTW*N54</f>
        <v>0</v>
      </c>
      <c r="Q54" s="324">
        <f t="shared" si="5"/>
        <v>0</v>
      </c>
      <c r="S54" s="323">
        <f>(Netto_cat_die_bestel_groot*J54)+(Netto_cat_BEV_bestel_groot*L54)</f>
        <v>0</v>
      </c>
      <c r="T54" s="323">
        <f>(BPM_die_bestel_groot*J54)+(BPM_BEV*L54)</f>
        <v>0</v>
      </c>
      <c r="U54" s="323">
        <f>BTW*S54</f>
        <v>0</v>
      </c>
      <c r="V54" s="323">
        <f t="shared" si="6"/>
        <v>0</v>
      </c>
      <c r="W54" s="323">
        <f>IF('2. Invoer parameters'!$C$10="ja",MIA_BEV_A*L54,0)</f>
        <v>0</v>
      </c>
      <c r="Y54" s="323">
        <f>(F54*verz_die_bestel_groot)</f>
        <v>0</v>
      </c>
      <c r="Z54" s="319">
        <f>(MRB_die_bestel_groot*$F39)</f>
        <v>0</v>
      </c>
      <c r="AA54" s="323">
        <f>($D54*F54*(verbr_die_bestel_groot/100)*prijs_die)</f>
        <v>0</v>
      </c>
      <c r="AB54" s="323">
        <f>($D54*F54*Onderh_die_bestel_groot)</f>
        <v>0</v>
      </c>
      <c r="AC54" s="323">
        <f>Rest_perc*SUM(N54:O54)</f>
        <v>0</v>
      </c>
      <c r="AD54" s="325">
        <f>Rest_perc*SUM(N54:P54)</f>
        <v>0</v>
      </c>
      <c r="AE54" s="323">
        <f>IF(BTW_verrekening="Ja",((N54+O54)-AC54)/(looptijd*12),((N54+O54+P54)-AD54)/(looptijd*12))</f>
        <v>0</v>
      </c>
      <c r="AG54" s="323">
        <f>(J54*verz_die_bestel_groot)+(L54*verz_BEV_bestel_groot)</f>
        <v>0</v>
      </c>
      <c r="AH54" s="323">
        <f>(MRB_die_bestel_groot*J54)+(MRB_BEV*L54)</f>
        <v>0</v>
      </c>
      <c r="AI54" s="323">
        <f>($D54*J54*(verbr_die_bestel_groot/100)*prijs_die)+($D54*L54*(verbr_BEV_bestel_groot/100)*prijs_elek_berekening)</f>
        <v>0</v>
      </c>
      <c r="AJ54" s="323">
        <f>Rest_perc*SUM(S54:T54)</f>
        <v>0</v>
      </c>
      <c r="AK54" s="323">
        <f>Rest_perc*SUM(S54:U54)</f>
        <v>0</v>
      </c>
      <c r="AL54" s="323">
        <f>($D54*J54*Onderh_die_bestel_groot)+($D54*L54*Onderh_BEV_bestel_groot)</f>
        <v>0</v>
      </c>
      <c r="AM54" s="323">
        <f>IF(BTW_verrekening="Ja",((S54+T54-W54)-AJ54)/(looptijd*12),((S54+T54+U54)-AK54)/(looptijd*12))</f>
        <v>0</v>
      </c>
      <c r="AO54" s="326">
        <f>(Efac_die_TTW*(verbr_die_bestel_groot/100)*$D54*F54)</f>
        <v>0</v>
      </c>
      <c r="AP54" s="326">
        <f>(Efac_die_WTW*(verbr_die_bestel_groot/100)*$D54*F54)</f>
        <v>0</v>
      </c>
      <c r="AR54" s="326">
        <f>(Efac_die_TTW*(verbr_die_bestel_groot/100)*$D54*J54)+(Efac_elek_berekening_TTW*(verbr_BEV_bestel_groot/100)*$D54*L54)</f>
        <v>0</v>
      </c>
      <c r="AS54" s="326">
        <f>(Efac_die_WTW*(verbr_die_bestel_groot/100)*$D54*J54)+(Efac_elek_berekening_WTW*(verbr_BEV_bestel_groot/100)*$D54*L54)</f>
        <v>0</v>
      </c>
    </row>
    <row r="55" spans="1:45">
      <c r="A55" s="327">
        <v>47</v>
      </c>
      <c r="B55" s="327" t="s">
        <v>178</v>
      </c>
      <c r="C55" s="319">
        <v>30000</v>
      </c>
      <c r="D55" s="319">
        <f>$D$5</f>
        <v>30000</v>
      </c>
      <c r="E55" s="322">
        <f t="shared" si="3"/>
        <v>0</v>
      </c>
      <c r="F55" s="322">
        <v>0</v>
      </c>
      <c r="G55" s="322" t="str">
        <v>n.v.t.</v>
      </c>
      <c r="H55" s="322"/>
      <c r="I55" s="322">
        <f t="shared" si="25"/>
        <v>0</v>
      </c>
      <c r="J55" s="322">
        <v>0</v>
      </c>
      <c r="K55" s="322" t="str">
        <f t="shared" si="26"/>
        <v>n.v.t.</v>
      </c>
      <c r="L55" s="322">
        <f>E55</f>
        <v>0</v>
      </c>
      <c r="N55" s="323">
        <f>(Netto_cat_die_bestel_groot*F55)</f>
        <v>0</v>
      </c>
      <c r="O55" s="323">
        <f>(BPM_die_bestel_groot*F55)</f>
        <v>0</v>
      </c>
      <c r="P55" s="324">
        <f>BTW*N55</f>
        <v>0</v>
      </c>
      <c r="Q55" s="324">
        <f t="shared" si="5"/>
        <v>0</v>
      </c>
      <c r="S55" s="323">
        <f>(Netto_cat_die_bestel_groot*J55)+(Netto_cat_BEV_bestel_groot*L55)</f>
        <v>0</v>
      </c>
      <c r="T55" s="323">
        <f>(BPM_die_bestel_groot*J55)+(BPM_BEV*L55)</f>
        <v>0</v>
      </c>
      <c r="U55" s="323">
        <f>BTW*S55</f>
        <v>0</v>
      </c>
      <c r="V55" s="323">
        <f t="shared" si="6"/>
        <v>0</v>
      </c>
      <c r="W55" s="323">
        <f>IF('2. Invoer parameters'!$C$10="ja",MIA_BEV_A*L55,0)</f>
        <v>0</v>
      </c>
      <c r="Y55" s="323">
        <f>(F55*verz_die_bestel_groot)</f>
        <v>0</v>
      </c>
      <c r="Z55" s="319">
        <f>(MRB_die_bestel_groot*$F40)</f>
        <v>0</v>
      </c>
      <c r="AA55" s="323">
        <f>($D55*F55*(verbr_die_bestel_groot/100)*prijs_die)</f>
        <v>0</v>
      </c>
      <c r="AB55" s="323">
        <f>($D55*F55*Onderh_die_bestel_groot)</f>
        <v>0</v>
      </c>
      <c r="AC55" s="323">
        <f>Rest_perc*SUM(N55:O55)</f>
        <v>0</v>
      </c>
      <c r="AD55" s="325">
        <f>Rest_perc*SUM(N55:P55)</f>
        <v>0</v>
      </c>
      <c r="AE55" s="323">
        <f>IF(BTW_verrekening="Ja",((N55+O55)-AC55)/(looptijd*12),((N55+O55+P55)-AD55)/(looptijd*12))</f>
        <v>0</v>
      </c>
      <c r="AG55" s="323">
        <f>(J55*verz_die_bestel_groot)+(L55*verz_BEV_bestel_groot)</f>
        <v>0</v>
      </c>
      <c r="AH55" s="323">
        <f>(MRB_die_bestel_groot*J55)+(MRB_BEV*L55)</f>
        <v>0</v>
      </c>
      <c r="AI55" s="323">
        <f>($D55*J55*(verbr_die_bestel_groot/100)*prijs_die)+($D55*L55*(verbr_BEV_bestel_groot/100)*prijs_elek_berekening)</f>
        <v>0</v>
      </c>
      <c r="AJ55" s="323">
        <f>Rest_perc*SUM(S55:T55)</f>
        <v>0</v>
      </c>
      <c r="AK55" s="323">
        <f>Rest_perc*SUM(S55:U55)</f>
        <v>0</v>
      </c>
      <c r="AL55" s="323">
        <f>($D55*J55*Onderh_die_bestel_groot)+($D55*L55*Onderh_BEV_bestel_groot)</f>
        <v>0</v>
      </c>
      <c r="AM55" s="323">
        <f>IF(BTW_verrekening="Ja",((S55+T55-W55)-AJ55)/(looptijd*12),((S55+T55+U55)-AK55)/(looptijd*12))</f>
        <v>0</v>
      </c>
      <c r="AO55" s="326">
        <f>(Efac_die_TTW*(verbr_die_bestel_groot/100)*$D55*F55)</f>
        <v>0</v>
      </c>
      <c r="AP55" s="326">
        <f>(Efac_die_WTW*(verbr_die_bestel_groot/100)*$D55*F55)</f>
        <v>0</v>
      </c>
      <c r="AR55" s="326">
        <f>(Efac_die_TTW*(verbr_die_bestel_groot/100)*$D55*J55)+(Efac_elek_berekening_TTW*(verbr_BEV_bestel_groot/100)*$D55*L55)</f>
        <v>0</v>
      </c>
      <c r="AS55" s="326">
        <f>(Efac_die_WTW*(verbr_die_bestel_groot/100)*$D55*J55)+(Efac_elek_berekening_WTW*(verbr_BEV_bestel_groot/100)*$D55*L55)</f>
        <v>0</v>
      </c>
    </row>
    <row r="56" spans="1:45">
      <c r="A56" s="327">
        <v>48</v>
      </c>
      <c r="B56" s="327" t="s">
        <v>178</v>
      </c>
      <c r="C56" s="322" t="s">
        <v>396</v>
      </c>
      <c r="D56" s="319">
        <f>$D$6</f>
        <v>40000</v>
      </c>
      <c r="E56" s="322">
        <f t="shared" si="3"/>
        <v>0</v>
      </c>
      <c r="F56" s="322">
        <v>0</v>
      </c>
      <c r="G56" s="322" t="str">
        <v>n.v.t.</v>
      </c>
      <c r="H56" s="322"/>
      <c r="I56" s="322">
        <f t="shared" si="25"/>
        <v>0</v>
      </c>
      <c r="J56" s="322">
        <v>0</v>
      </c>
      <c r="K56" s="322" t="str">
        <f t="shared" si="26"/>
        <v>n.v.t.</v>
      </c>
      <c r="L56" s="322">
        <f>E56</f>
        <v>0</v>
      </c>
      <c r="N56" s="323">
        <f>(Netto_cat_die_bestel_groot*F56)</f>
        <v>0</v>
      </c>
      <c r="O56" s="323">
        <f>(BPM_die_bestel_groot*F56)</f>
        <v>0</v>
      </c>
      <c r="P56" s="324">
        <f>BTW*N56</f>
        <v>0</v>
      </c>
      <c r="Q56" s="324">
        <f t="shared" si="5"/>
        <v>0</v>
      </c>
      <c r="S56" s="323">
        <f>(Netto_cat_die_bestel_groot*J56)+(Netto_cat_BEV_bestel_groot*L56)</f>
        <v>0</v>
      </c>
      <c r="T56" s="323">
        <f>(BPM_die_bestel_groot*J56)+(BPM_BEV*L56)</f>
        <v>0</v>
      </c>
      <c r="U56" s="323">
        <f>BTW*S56</f>
        <v>0</v>
      </c>
      <c r="V56" s="323">
        <f t="shared" si="6"/>
        <v>0</v>
      </c>
      <c r="W56" s="323">
        <f>IF('2. Invoer parameters'!$C$10="ja",MIA_BEV_A*L56,0)</f>
        <v>0</v>
      </c>
      <c r="Y56" s="323">
        <f>(F56*verz_die_bestel_groot)</f>
        <v>0</v>
      </c>
      <c r="Z56" s="319">
        <f>(MRB_die_bestel_groot*$F41)</f>
        <v>0</v>
      </c>
      <c r="AA56" s="323">
        <f>($D56*F56*(verbr_die_bestel_groot/100)*prijs_die)</f>
        <v>0</v>
      </c>
      <c r="AB56" s="323">
        <f>($D56*F56*Onderh_die_bestel_groot)</f>
        <v>0</v>
      </c>
      <c r="AC56" s="323">
        <f>Rest_perc*SUM(N56:O56)</f>
        <v>0</v>
      </c>
      <c r="AD56" s="325">
        <f>Rest_perc*SUM(N56:P56)</f>
        <v>0</v>
      </c>
      <c r="AE56" s="323">
        <f>IF(BTW_verrekening="Ja",((N56+O56)-AC56)/(looptijd*12),((N56+O56+P56)-AD56)/(looptijd*12))</f>
        <v>0</v>
      </c>
      <c r="AG56" s="323">
        <f>(J56*verz_die_bestel_groot)+(L56*verz_BEV_bestel_groot)</f>
        <v>0</v>
      </c>
      <c r="AH56" s="323">
        <f>(MRB_die_bestel_groot*J56)+(MRB_BEV*L56)</f>
        <v>0</v>
      </c>
      <c r="AI56" s="323">
        <f>($D56*J56*(verbr_die_bestel_groot/100)*prijs_die)+($D56*L56*(verbr_BEV_bestel_groot/100)*prijs_elek_berekening)</f>
        <v>0</v>
      </c>
      <c r="AJ56" s="323">
        <f>Rest_perc*SUM(S56:T56)</f>
        <v>0</v>
      </c>
      <c r="AK56" s="323">
        <f>Rest_perc*SUM(S56:U56)</f>
        <v>0</v>
      </c>
      <c r="AL56" s="323">
        <f>($D56*J56*Onderh_die_bestel_groot)+($D56*L56*Onderh_BEV_bestel_groot)</f>
        <v>0</v>
      </c>
      <c r="AM56" s="323">
        <f>IF(BTW_verrekening="Ja",((S56+T56-W56)-AJ56)/(looptijd*12),((S56+T56+U56)-AK56)/(looptijd*12))</f>
        <v>0</v>
      </c>
      <c r="AO56" s="326">
        <f>(Efac_die_TTW*(verbr_die_bestel_groot/100)*$D56*F56)</f>
        <v>0</v>
      </c>
      <c r="AP56" s="326">
        <f>(Efac_die_WTW*(verbr_die_bestel_groot/100)*$D56*F56)</f>
        <v>0</v>
      </c>
      <c r="AR56" s="326">
        <f>(Efac_die_TTW*(verbr_die_bestel_groot/100)*$D56*J56)+(Efac_elek_berekening_TTW*(verbr_BEV_bestel_groot/100)*$D56*L56)</f>
        <v>0</v>
      </c>
      <c r="AS56" s="326">
        <f>(Efac_die_WTW*(verbr_die_bestel_groot/100)*$D56*J56)+(Efac_elek_berekening_WTW*(verbr_BEV_bestel_groot/100)*$D56*L56)</f>
        <v>0</v>
      </c>
    </row>
    <row r="57" spans="1:45">
      <c r="N57" s="323"/>
    </row>
    <row r="58" spans="1:45">
      <c r="AO58" s="328">
        <f>SUM(AO3:AO56)</f>
        <v>0</v>
      </c>
      <c r="AP58" s="328">
        <f t="shared" ref="AP58:AS58" si="27">SUM(AP3:AP56)</f>
        <v>0</v>
      </c>
      <c r="AQ58" s="328"/>
      <c r="AR58" s="328">
        <f t="shared" si="27"/>
        <v>0</v>
      </c>
      <c r="AS58" s="328">
        <f t="shared" si="27"/>
        <v>0</v>
      </c>
    </row>
    <row r="60" spans="1:45">
      <c r="AO60" s="320"/>
    </row>
  </sheetData>
  <sheetProtection algorithmName="SHA-512" hashValue="CDA3XlWKiLTKOiT63ebJ06Dbi5U8JhhgCs0CUf3Ar19AND0HQWNTNcIKeCRp4xr2n0Au9lh1lLP67gCiFgJMtA==" saltValue="TOFqpBfx6XeOHg+JwpGBsg==" spinCount="100000" sheet="1" objects="1" scenarios="1"/>
  <mergeCells count="8">
    <mergeCell ref="AR1:AS1"/>
    <mergeCell ref="AO1:AP1"/>
    <mergeCell ref="AG1:AM1"/>
    <mergeCell ref="E1:G1"/>
    <mergeCell ref="I1:L1"/>
    <mergeCell ref="Y1:AE1"/>
    <mergeCell ref="N1:Q1"/>
    <mergeCell ref="S1:W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7030A0"/>
  </sheetPr>
  <dimension ref="A1:M65"/>
  <sheetViews>
    <sheetView workbookViewId="0">
      <selection activeCell="M5" sqref="M5"/>
    </sheetView>
  </sheetViews>
  <sheetFormatPr defaultColWidth="11" defaultRowHeight="15.75"/>
  <cols>
    <col min="1" max="1" width="21.5" bestFit="1" customWidth="1"/>
    <col min="3" max="3" width="15.25" customWidth="1"/>
    <col min="5" max="5" width="11.75" bestFit="1" customWidth="1"/>
    <col min="7" max="7" width="37.75" bestFit="1" customWidth="1"/>
    <col min="9" max="9" width="23.25" bestFit="1" customWidth="1"/>
    <col min="11" max="11" width="12.75" bestFit="1" customWidth="1"/>
    <col min="13" max="13" width="13.25" customWidth="1"/>
  </cols>
  <sheetData>
    <row r="1" spans="1:13">
      <c r="A1" s="1" t="s">
        <v>400</v>
      </c>
    </row>
    <row r="3" spans="1:13">
      <c r="A3" s="1" t="s">
        <v>401</v>
      </c>
      <c r="C3" s="1" t="s">
        <v>402</v>
      </c>
      <c r="E3" s="1" t="s">
        <v>403</v>
      </c>
      <c r="G3" s="1" t="s">
        <v>801</v>
      </c>
      <c r="I3" s="1" t="s">
        <v>404</v>
      </c>
      <c r="K3" s="1" t="s">
        <v>405</v>
      </c>
      <c r="M3" s="1" t="s">
        <v>802</v>
      </c>
    </row>
    <row r="4" spans="1:13">
      <c r="A4">
        <v>0</v>
      </c>
      <c r="C4" t="s">
        <v>406</v>
      </c>
      <c r="E4" t="s">
        <v>62</v>
      </c>
      <c r="G4" t="s">
        <v>62</v>
      </c>
      <c r="I4" t="s">
        <v>62</v>
      </c>
      <c r="K4">
        <v>1</v>
      </c>
      <c r="M4" s="4">
        <v>0</v>
      </c>
    </row>
    <row r="5" spans="1:13">
      <c r="A5">
        <v>1</v>
      </c>
      <c r="B5" s="2"/>
      <c r="C5" s="2" t="s">
        <v>407</v>
      </c>
      <c r="D5" s="2"/>
      <c r="E5" s="2" t="s">
        <v>63</v>
      </c>
      <c r="F5" s="2"/>
      <c r="G5" t="s">
        <v>63</v>
      </c>
      <c r="I5" t="s">
        <v>63</v>
      </c>
      <c r="K5">
        <v>2</v>
      </c>
      <c r="M5" s="4">
        <v>0.1</v>
      </c>
    </row>
    <row r="6" spans="1:13">
      <c r="A6">
        <v>2</v>
      </c>
      <c r="C6" t="s">
        <v>61</v>
      </c>
      <c r="K6">
        <v>3</v>
      </c>
      <c r="M6" s="4">
        <v>0.2</v>
      </c>
    </row>
    <row r="7" spans="1:13">
      <c r="A7">
        <v>3</v>
      </c>
      <c r="K7">
        <v>4</v>
      </c>
      <c r="M7" s="4">
        <v>0.3</v>
      </c>
    </row>
    <row r="8" spans="1:13">
      <c r="A8">
        <v>4</v>
      </c>
      <c r="K8">
        <v>5</v>
      </c>
      <c r="M8" s="4">
        <v>0.4</v>
      </c>
    </row>
    <row r="9" spans="1:13">
      <c r="A9">
        <v>5</v>
      </c>
      <c r="K9">
        <v>6</v>
      </c>
      <c r="M9" s="4">
        <v>0.5</v>
      </c>
    </row>
    <row r="10" spans="1:13">
      <c r="A10">
        <v>6</v>
      </c>
      <c r="K10">
        <v>7</v>
      </c>
      <c r="M10" s="4">
        <v>0.6</v>
      </c>
    </row>
    <row r="11" spans="1:13">
      <c r="A11">
        <v>7</v>
      </c>
      <c r="K11">
        <v>8</v>
      </c>
      <c r="M11" s="4">
        <v>0.7</v>
      </c>
    </row>
    <row r="12" spans="1:13">
      <c r="A12">
        <v>8</v>
      </c>
      <c r="K12">
        <v>9</v>
      </c>
      <c r="M12" s="4">
        <v>0.8</v>
      </c>
    </row>
    <row r="13" spans="1:13">
      <c r="A13">
        <v>9</v>
      </c>
      <c r="K13">
        <v>10</v>
      </c>
      <c r="M13" s="4">
        <v>0.9</v>
      </c>
    </row>
    <row r="14" spans="1:13">
      <c r="A14">
        <v>10</v>
      </c>
      <c r="M14" s="4">
        <v>1</v>
      </c>
    </row>
    <row r="15" spans="1:13">
      <c r="A15">
        <v>11</v>
      </c>
    </row>
    <row r="16" spans="1:13">
      <c r="A16">
        <v>12</v>
      </c>
    </row>
    <row r="17" spans="1:1">
      <c r="A17">
        <v>13</v>
      </c>
    </row>
    <row r="18" spans="1:1">
      <c r="A18">
        <v>14</v>
      </c>
    </row>
    <row r="19" spans="1:1">
      <c r="A19">
        <v>15</v>
      </c>
    </row>
    <row r="20" spans="1:1">
      <c r="A20">
        <v>16</v>
      </c>
    </row>
    <row r="21" spans="1:1">
      <c r="A21">
        <v>17</v>
      </c>
    </row>
    <row r="22" spans="1:1">
      <c r="A22">
        <v>18</v>
      </c>
    </row>
    <row r="23" spans="1:1">
      <c r="A23">
        <v>19</v>
      </c>
    </row>
    <row r="24" spans="1:1">
      <c r="A24">
        <v>20</v>
      </c>
    </row>
    <row r="25" spans="1:1">
      <c r="A25">
        <v>21</v>
      </c>
    </row>
    <row r="26" spans="1:1">
      <c r="A26">
        <v>22</v>
      </c>
    </row>
    <row r="27" spans="1:1">
      <c r="A27">
        <v>23</v>
      </c>
    </row>
    <row r="28" spans="1:1">
      <c r="A28">
        <v>24</v>
      </c>
    </row>
    <row r="29" spans="1:1">
      <c r="A29">
        <v>25</v>
      </c>
    </row>
    <row r="30" spans="1:1">
      <c r="A30">
        <v>26</v>
      </c>
    </row>
    <row r="31" spans="1:1">
      <c r="A31">
        <v>27</v>
      </c>
    </row>
    <row r="32" spans="1:1">
      <c r="A32">
        <v>28</v>
      </c>
    </row>
    <row r="33" spans="1:1">
      <c r="A33">
        <v>29</v>
      </c>
    </row>
    <row r="34" spans="1:1">
      <c r="A34">
        <v>30</v>
      </c>
    </row>
    <row r="35" spans="1:1">
      <c r="A35">
        <v>31</v>
      </c>
    </row>
    <row r="36" spans="1:1">
      <c r="A36">
        <v>32</v>
      </c>
    </row>
    <row r="37" spans="1:1">
      <c r="A37">
        <v>33</v>
      </c>
    </row>
    <row r="38" spans="1:1">
      <c r="A38">
        <v>34</v>
      </c>
    </row>
    <row r="39" spans="1:1">
      <c r="A39">
        <v>35</v>
      </c>
    </row>
    <row r="40" spans="1:1">
      <c r="A40">
        <v>36</v>
      </c>
    </row>
    <row r="41" spans="1:1">
      <c r="A41">
        <v>37</v>
      </c>
    </row>
    <row r="42" spans="1:1">
      <c r="A42">
        <v>38</v>
      </c>
    </row>
    <row r="43" spans="1:1">
      <c r="A43">
        <v>39</v>
      </c>
    </row>
    <row r="44" spans="1:1">
      <c r="A44">
        <v>40</v>
      </c>
    </row>
    <row r="45" spans="1:1">
      <c r="A45">
        <v>41</v>
      </c>
    </row>
    <row r="46" spans="1:1">
      <c r="A46">
        <v>42</v>
      </c>
    </row>
    <row r="47" spans="1:1">
      <c r="A47">
        <v>43</v>
      </c>
    </row>
    <row r="48" spans="1:1">
      <c r="A48">
        <v>44</v>
      </c>
    </row>
    <row r="49" spans="1:1">
      <c r="A49">
        <v>45</v>
      </c>
    </row>
    <row r="50" spans="1:1">
      <c r="A50">
        <v>46</v>
      </c>
    </row>
    <row r="51" spans="1:1">
      <c r="A51">
        <v>47</v>
      </c>
    </row>
    <row r="52" spans="1:1">
      <c r="A52">
        <v>48</v>
      </c>
    </row>
    <row r="53" spans="1:1">
      <c r="A53">
        <v>49</v>
      </c>
    </row>
    <row r="54" spans="1:1">
      <c r="A54">
        <v>50</v>
      </c>
    </row>
    <row r="55" spans="1:1">
      <c r="A55">
        <v>51</v>
      </c>
    </row>
    <row r="56" spans="1:1">
      <c r="A56">
        <v>52</v>
      </c>
    </row>
    <row r="57" spans="1:1">
      <c r="A57">
        <v>53</v>
      </c>
    </row>
    <row r="58" spans="1:1">
      <c r="A58">
        <v>54</v>
      </c>
    </row>
    <row r="59" spans="1:1">
      <c r="A59">
        <v>55</v>
      </c>
    </row>
    <row r="60" spans="1:1">
      <c r="A60">
        <v>56</v>
      </c>
    </row>
    <row r="61" spans="1:1">
      <c r="A61">
        <v>57</v>
      </c>
    </row>
    <row r="62" spans="1:1">
      <c r="A62">
        <v>58</v>
      </c>
    </row>
    <row r="63" spans="1:1">
      <c r="A63">
        <v>59</v>
      </c>
    </row>
    <row r="64" spans="1:1">
      <c r="A64">
        <v>60</v>
      </c>
    </row>
    <row r="65" spans="1:1">
      <c r="A65" s="3" t="s">
        <v>408</v>
      </c>
    </row>
  </sheetData>
  <sheetProtection algorithmName="SHA-512" hashValue="4/fmShnnxc7rbThaofmwY52yo0i4222lvyynfOSlGgmBAA5T1mc3pdR0p9W9VZbtGPSdBiTvqzvZ6bPnDFzFXw==" saltValue="hfbYQvTCRS4h6M4OF1anE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282</vt:i4>
      </vt:variant>
    </vt:vector>
  </HeadingPairs>
  <TitlesOfParts>
    <vt:vector size="288" baseType="lpstr">
      <vt:lpstr>0. Introductie</vt:lpstr>
      <vt:lpstr>1. Invoer wagenpark</vt:lpstr>
      <vt:lpstr>2. Invoer parameters</vt:lpstr>
      <vt:lpstr>3. Resultaten</vt:lpstr>
      <vt:lpstr>4. Analyse</vt:lpstr>
      <vt:lpstr>5. Vervolg</vt:lpstr>
      <vt:lpstr>BPM_benz_A</vt:lpstr>
      <vt:lpstr>BPM_benz_B</vt:lpstr>
      <vt:lpstr>BPM_benz_bestel_groot</vt:lpstr>
      <vt:lpstr>BPM_benz_bestel_klein</vt:lpstr>
      <vt:lpstr>BPM_benz_bestel_middel</vt:lpstr>
      <vt:lpstr>BPM_benz_C</vt:lpstr>
      <vt:lpstr>BPM_benz_D</vt:lpstr>
      <vt:lpstr>BPM_benz_E</vt:lpstr>
      <vt:lpstr>BPM_benz_F</vt:lpstr>
      <vt:lpstr>BPM_benz_J</vt:lpstr>
      <vt:lpstr>BPM_benz_L</vt:lpstr>
      <vt:lpstr>BPM_benz_M</vt:lpstr>
      <vt:lpstr>BPM_BEV</vt:lpstr>
      <vt:lpstr>BPM_die_A</vt:lpstr>
      <vt:lpstr>BPM_die_B</vt:lpstr>
      <vt:lpstr>BPM_die_bestel_groot</vt:lpstr>
      <vt:lpstr>BPM_die_bestel_klein</vt:lpstr>
      <vt:lpstr>BPM_die_bestel_middel</vt:lpstr>
      <vt:lpstr>BPM_die_C</vt:lpstr>
      <vt:lpstr>BPM_die_D</vt:lpstr>
      <vt:lpstr>BPM_die_E</vt:lpstr>
      <vt:lpstr>BPM_die_F</vt:lpstr>
      <vt:lpstr>BPM_die_J</vt:lpstr>
      <vt:lpstr>BPM_die_L</vt:lpstr>
      <vt:lpstr>BPM_die_M</vt:lpstr>
      <vt:lpstr>Bruto_cat_BEV_A</vt:lpstr>
      <vt:lpstr>Bruto_cat_BEV_B</vt:lpstr>
      <vt:lpstr>Bruto_cat_BEV_bestel_groot</vt:lpstr>
      <vt:lpstr>Bruto_cat_BEV_bestel_klein</vt:lpstr>
      <vt:lpstr>Bruto_cat_BEV_bestel_middel</vt:lpstr>
      <vt:lpstr>Bruto_cat_BEV_C</vt:lpstr>
      <vt:lpstr>Bruto_cat_BEV_D</vt:lpstr>
      <vt:lpstr>Bruto_cat_BEV_E</vt:lpstr>
      <vt:lpstr>Bruto_cat_BEV_F</vt:lpstr>
      <vt:lpstr>Bruto_cat_BEV_J</vt:lpstr>
      <vt:lpstr>Bruto_cat_BEV_L</vt:lpstr>
      <vt:lpstr>Bruto_cat_BEV_M</vt:lpstr>
      <vt:lpstr>BTW</vt:lpstr>
      <vt:lpstr>BTW_verrekening</vt:lpstr>
      <vt:lpstr>cat_prijs_net_benz_A</vt:lpstr>
      <vt:lpstr>cat_prijs_net_benz_B</vt:lpstr>
      <vt:lpstr>cat_prijs_net_benz_C</vt:lpstr>
      <vt:lpstr>cat_prijs_net_benz_D</vt:lpstr>
      <vt:lpstr>cat_prijs_net_benz_E</vt:lpstr>
      <vt:lpstr>cat_prijs_net_benz_F</vt:lpstr>
      <vt:lpstr>cat_prijs_net_benz_J</vt:lpstr>
      <vt:lpstr>cat_prijs_net_benz_L</vt:lpstr>
      <vt:lpstr>cat_prijs_net_benz_M</vt:lpstr>
      <vt:lpstr>cat_prijs_net_die_bestel_groot</vt:lpstr>
      <vt:lpstr>cat_prijs_net_die_bestel_klein</vt:lpstr>
      <vt:lpstr>cat_prijs_net_die_bestel_middel</vt:lpstr>
      <vt:lpstr>cat_prijs_net_dies_A</vt:lpstr>
      <vt:lpstr>cat_prijs_net_dies_B</vt:lpstr>
      <vt:lpstr>cat_prijs_net_dies_C</vt:lpstr>
      <vt:lpstr>cat_prijs_net_dies_D</vt:lpstr>
      <vt:lpstr>cat_prijs_net_dies_E</vt:lpstr>
      <vt:lpstr>cat_prijs_net_dies_F</vt:lpstr>
      <vt:lpstr>cat_prijs_net_dies_J</vt:lpstr>
      <vt:lpstr>cat_prijs_net_dies_L</vt:lpstr>
      <vt:lpstr>cat_prijs_net_dies_M</vt:lpstr>
      <vt:lpstr>Efac_benz_TTW</vt:lpstr>
      <vt:lpstr>Efac_benz_WTT</vt:lpstr>
      <vt:lpstr>Efac_benz_WTW</vt:lpstr>
      <vt:lpstr>Efac_die_TTW</vt:lpstr>
      <vt:lpstr>Efac_die_WTT</vt:lpstr>
      <vt:lpstr>Efac_die_WTW</vt:lpstr>
      <vt:lpstr>Efac_elek_berekening_TTW</vt:lpstr>
      <vt:lpstr>Efac_elek_berekening_WTW</vt:lpstr>
      <vt:lpstr>Efac_elek_grijs_TTW</vt:lpstr>
      <vt:lpstr>Efac_elek_grijs_WTT</vt:lpstr>
      <vt:lpstr>Efac_elek_grijs_WTW</vt:lpstr>
      <vt:lpstr>Efac_elek_groen_TTW</vt:lpstr>
      <vt:lpstr>Efac_elek_groen_WTT</vt:lpstr>
      <vt:lpstr>Efac_elek_groen_WTW</vt:lpstr>
      <vt:lpstr>Efac_elek_mix_TTW</vt:lpstr>
      <vt:lpstr>Efac_elek_mix_WTT</vt:lpstr>
      <vt:lpstr>Efac_elek_mix_WTW</vt:lpstr>
      <vt:lpstr>gCO2_km_benz_A</vt:lpstr>
      <vt:lpstr>gCO2_km_benz_B</vt:lpstr>
      <vt:lpstr>gCO2_km_benz_C</vt:lpstr>
      <vt:lpstr>gCO2_km_benz_D</vt:lpstr>
      <vt:lpstr>gCO2_km_benz_E</vt:lpstr>
      <vt:lpstr>gCO2_km_benz_F</vt:lpstr>
      <vt:lpstr>gCO2_km_benz_J</vt:lpstr>
      <vt:lpstr>gCO2_km_benz_L</vt:lpstr>
      <vt:lpstr>gCO2_km_benz_M</vt:lpstr>
      <vt:lpstr>gCO2_km_bestel_dies_groot</vt:lpstr>
      <vt:lpstr>gCO2_km_bestel_dies_klein</vt:lpstr>
      <vt:lpstr>gCO2_km_bestel_dies_middel</vt:lpstr>
      <vt:lpstr>gCO2_km_die_A</vt:lpstr>
      <vt:lpstr>gCO2_km_die_B</vt:lpstr>
      <vt:lpstr>gCO2_km_die_C</vt:lpstr>
      <vt:lpstr>gCO2_km_die_D</vt:lpstr>
      <vt:lpstr>gCO2_km_die_E</vt:lpstr>
      <vt:lpstr>gCO2_km_die_F</vt:lpstr>
      <vt:lpstr>gCO2_km_die_J</vt:lpstr>
      <vt:lpstr>gCO2_km_die_L</vt:lpstr>
      <vt:lpstr>gCO2_km_die_M</vt:lpstr>
      <vt:lpstr>looptijd</vt:lpstr>
      <vt:lpstr>MIA_BEV_A</vt:lpstr>
      <vt:lpstr>MIA_BEV_B</vt:lpstr>
      <vt:lpstr>MIA_BEV_bestel_groot</vt:lpstr>
      <vt:lpstr>MIA_BEV_bestel_klein</vt:lpstr>
      <vt:lpstr>MIA_BEV_bestel_middel</vt:lpstr>
      <vt:lpstr>MIA_BEV_C</vt:lpstr>
      <vt:lpstr>MIA_BEV_D</vt:lpstr>
      <vt:lpstr>MIA_BEV_E</vt:lpstr>
      <vt:lpstr>MIA_BEV_F</vt:lpstr>
      <vt:lpstr>MIA_BEV_J</vt:lpstr>
      <vt:lpstr>MIA_BEV_L</vt:lpstr>
      <vt:lpstr>MIA_BEV_M</vt:lpstr>
      <vt:lpstr>MRB_benz_A</vt:lpstr>
      <vt:lpstr>MRB_benz_B</vt:lpstr>
      <vt:lpstr>MRB_benz_C</vt:lpstr>
      <vt:lpstr>MRB_benz_D</vt:lpstr>
      <vt:lpstr>MRB_benz_E</vt:lpstr>
      <vt:lpstr>MRB_benz_F</vt:lpstr>
      <vt:lpstr>MRB_benz_J</vt:lpstr>
      <vt:lpstr>MRB_benz_L</vt:lpstr>
      <vt:lpstr>MRB_benz_M</vt:lpstr>
      <vt:lpstr>MRB_BEV</vt:lpstr>
      <vt:lpstr>MRB_die_B</vt:lpstr>
      <vt:lpstr>MRB_die_bestel_groot</vt:lpstr>
      <vt:lpstr>MRB_die_bestel_klein</vt:lpstr>
      <vt:lpstr>MRB_die_bestel_middel</vt:lpstr>
      <vt:lpstr>MRB_die_C</vt:lpstr>
      <vt:lpstr>MRB_die_D</vt:lpstr>
      <vt:lpstr>MRB_die_E</vt:lpstr>
      <vt:lpstr>MRB_die_F</vt:lpstr>
      <vt:lpstr>MRB_die_J</vt:lpstr>
      <vt:lpstr>MRB_die_L</vt:lpstr>
      <vt:lpstr>MRB_die_M</vt:lpstr>
      <vt:lpstr>Netto_cat_benz_A</vt:lpstr>
      <vt:lpstr>Netto_cat_benz_B</vt:lpstr>
      <vt:lpstr>Netto_cat_benz_C</vt:lpstr>
      <vt:lpstr>Netto_cat_benz_D</vt:lpstr>
      <vt:lpstr>Netto_cat_benz_E</vt:lpstr>
      <vt:lpstr>Netto_cat_benz_F</vt:lpstr>
      <vt:lpstr>Netto_cat_benz_J</vt:lpstr>
      <vt:lpstr>Netto_cat_benz_L</vt:lpstr>
      <vt:lpstr>Netto_cat_benz_M</vt:lpstr>
      <vt:lpstr>Netto_cat_bestel_groot</vt:lpstr>
      <vt:lpstr>Netto_cat_bestel_klein</vt:lpstr>
      <vt:lpstr>Netto_cat_bestel_middel</vt:lpstr>
      <vt:lpstr>Netto_cat_BEV_A</vt:lpstr>
      <vt:lpstr>Netto_cat_BEV_B</vt:lpstr>
      <vt:lpstr>Netto_cat_BEV_bestel_groot</vt:lpstr>
      <vt:lpstr>Netto_cat_BEV_bestel_klein</vt:lpstr>
      <vt:lpstr>Netto_cat_BEV_bestel_middel</vt:lpstr>
      <vt:lpstr>Netto_cat_BEV_C</vt:lpstr>
      <vt:lpstr>Netto_cat_BEV_D</vt:lpstr>
      <vt:lpstr>Netto_cat_BEV_E</vt:lpstr>
      <vt:lpstr>Netto_cat_BEV_F</vt:lpstr>
      <vt:lpstr>Netto_cat_BEV_J</vt:lpstr>
      <vt:lpstr>Netto_cat_BEV_L</vt:lpstr>
      <vt:lpstr>Netto_cat_BEV_M</vt:lpstr>
      <vt:lpstr>Netto_cat_die_A</vt:lpstr>
      <vt:lpstr>Netto_cat_die_B</vt:lpstr>
      <vt:lpstr>Netto_cat_die_bestel_groot</vt:lpstr>
      <vt:lpstr>Netto_cat_die_bestel_klein</vt:lpstr>
      <vt:lpstr>Netto_cat_die_bestel_middel</vt:lpstr>
      <vt:lpstr>Netto_cat_die_C</vt:lpstr>
      <vt:lpstr>Netto_cat_die_D</vt:lpstr>
      <vt:lpstr>Netto_cat_die_E</vt:lpstr>
      <vt:lpstr>Netto_cat_die_F</vt:lpstr>
      <vt:lpstr>Netto_cat_die_J</vt:lpstr>
      <vt:lpstr>Netto_cat_die_L</vt:lpstr>
      <vt:lpstr>Netto_cat_die_M</vt:lpstr>
      <vt:lpstr>Onderh_benz_A</vt:lpstr>
      <vt:lpstr>Onderh_benz_B</vt:lpstr>
      <vt:lpstr>Onderh_benz_C</vt:lpstr>
      <vt:lpstr>Onderh_benz_D</vt:lpstr>
      <vt:lpstr>Onderh_benz_E</vt:lpstr>
      <vt:lpstr>Onderh_benz_F</vt:lpstr>
      <vt:lpstr>Onderh_benz_J</vt:lpstr>
      <vt:lpstr>Onderh_benz_L</vt:lpstr>
      <vt:lpstr>Onderh_benz_M</vt:lpstr>
      <vt:lpstr>Onderh_BEV_A</vt:lpstr>
      <vt:lpstr>Onderh_BEV_B</vt:lpstr>
      <vt:lpstr>Onderh_BEV_bestel_groot</vt:lpstr>
      <vt:lpstr>Onderh_BEV_bestel_klein</vt:lpstr>
      <vt:lpstr>Onderh_BEV_bestel_middel</vt:lpstr>
      <vt:lpstr>Onderh_BEV_C</vt:lpstr>
      <vt:lpstr>Onderh_BEV_D</vt:lpstr>
      <vt:lpstr>Onderh_BEV_E</vt:lpstr>
      <vt:lpstr>Onderh_BEV_F</vt:lpstr>
      <vt:lpstr>Onderh_BEV_J</vt:lpstr>
      <vt:lpstr>Onderh_BEV_L</vt:lpstr>
      <vt:lpstr>Onderh_BEV_M</vt:lpstr>
      <vt:lpstr>Onderh_die_B</vt:lpstr>
      <vt:lpstr>Onderh_die_bestel_groot</vt:lpstr>
      <vt:lpstr>Onderh_die_bestel_klein</vt:lpstr>
      <vt:lpstr>Onderh_die_bestel_middel</vt:lpstr>
      <vt:lpstr>Onderh_die_C</vt:lpstr>
      <vt:lpstr>Onderh_die_D</vt:lpstr>
      <vt:lpstr>Onderh_die_E</vt:lpstr>
      <vt:lpstr>Onderh_die_F</vt:lpstr>
      <vt:lpstr>Onderh_die_J</vt:lpstr>
      <vt:lpstr>Onderh_die_L</vt:lpstr>
      <vt:lpstr>Onderh_die_M</vt:lpstr>
      <vt:lpstr>Onderh_dies_A</vt:lpstr>
      <vt:lpstr>prijs_benz</vt:lpstr>
      <vt:lpstr>prijs_die</vt:lpstr>
      <vt:lpstr>prijs_elek_berekening</vt:lpstr>
      <vt:lpstr>prijs_elek_kantoor</vt:lpstr>
      <vt:lpstr>Rest_1</vt:lpstr>
      <vt:lpstr>Rest_10</vt:lpstr>
      <vt:lpstr>Rest_2</vt:lpstr>
      <vt:lpstr>Rest_3</vt:lpstr>
      <vt:lpstr>Rest_4</vt:lpstr>
      <vt:lpstr>Rest_5</vt:lpstr>
      <vt:lpstr>Rest_6</vt:lpstr>
      <vt:lpstr>Rest_7</vt:lpstr>
      <vt:lpstr>Rest_8</vt:lpstr>
      <vt:lpstr>Rest_9</vt:lpstr>
      <vt:lpstr>Rest_perc</vt:lpstr>
      <vt:lpstr>verbr_benz_A</vt:lpstr>
      <vt:lpstr>verbr_benz_B</vt:lpstr>
      <vt:lpstr>verbr_benz_C</vt:lpstr>
      <vt:lpstr>verbr_benz_D</vt:lpstr>
      <vt:lpstr>verbr_benz_E</vt:lpstr>
      <vt:lpstr>verbr_benz_F</vt:lpstr>
      <vt:lpstr>verbr_benz_J</vt:lpstr>
      <vt:lpstr>verbr_benz_L</vt:lpstr>
      <vt:lpstr>verbr_benz_M</vt:lpstr>
      <vt:lpstr>verbr_BEV_A</vt:lpstr>
      <vt:lpstr>verbr_BEV_B</vt:lpstr>
      <vt:lpstr>verbr_BEV_bestel_groot</vt:lpstr>
      <vt:lpstr>verbr_BEV_bestel_klein</vt:lpstr>
      <vt:lpstr>verbr_BEV_bestel_middel</vt:lpstr>
      <vt:lpstr>verbr_BEV_C</vt:lpstr>
      <vt:lpstr>verbr_BEV_D</vt:lpstr>
      <vt:lpstr>verbr_BEV_E</vt:lpstr>
      <vt:lpstr>verbr_BEV_F</vt:lpstr>
      <vt:lpstr>verbr_BEV_J</vt:lpstr>
      <vt:lpstr>verbr_BEV_L</vt:lpstr>
      <vt:lpstr>verbr_BEV_M</vt:lpstr>
      <vt:lpstr>verbr_die_A</vt:lpstr>
      <vt:lpstr>verbr_die_B</vt:lpstr>
      <vt:lpstr>verbr_die_bestel_groot</vt:lpstr>
      <vt:lpstr>verbr_die_bestel_klein</vt:lpstr>
      <vt:lpstr>verbr_die_bestel_middel</vt:lpstr>
      <vt:lpstr>verbr_die_C</vt:lpstr>
      <vt:lpstr>verbr_die_D</vt:lpstr>
      <vt:lpstr>verbr_die_E</vt:lpstr>
      <vt:lpstr>verbr_die_F</vt:lpstr>
      <vt:lpstr>verbr_die_J</vt:lpstr>
      <vt:lpstr>verbr_die_L</vt:lpstr>
      <vt:lpstr>verbr_die_M</vt:lpstr>
      <vt:lpstr>verz_benz_A</vt:lpstr>
      <vt:lpstr>verz_benz_B</vt:lpstr>
      <vt:lpstr>verz_benz_C</vt:lpstr>
      <vt:lpstr>verz_benz_D</vt:lpstr>
      <vt:lpstr>verz_benz_E</vt:lpstr>
      <vt:lpstr>verz_benz_F</vt:lpstr>
      <vt:lpstr>verz_benz_J</vt:lpstr>
      <vt:lpstr>verz_benz_L</vt:lpstr>
      <vt:lpstr>verz_benz_M</vt:lpstr>
      <vt:lpstr>verz_BEV_A</vt:lpstr>
      <vt:lpstr>verz_BEV_B</vt:lpstr>
      <vt:lpstr>verz_BEV_bestel_groot</vt:lpstr>
      <vt:lpstr>verz_BEV_bestel_klein</vt:lpstr>
      <vt:lpstr>verz_BEV_bestel_middel</vt:lpstr>
      <vt:lpstr>verz_BEV_C</vt:lpstr>
      <vt:lpstr>verz_BEV_D</vt:lpstr>
      <vt:lpstr>verz_BEV_E</vt:lpstr>
      <vt:lpstr>verz_BEV_F</vt:lpstr>
      <vt:lpstr>verz_BEV_J</vt:lpstr>
      <vt:lpstr>verz_BEV_L</vt:lpstr>
      <vt:lpstr>verz_BEV_M</vt:lpstr>
      <vt:lpstr>verz_die_A</vt:lpstr>
      <vt:lpstr>verz_die_B</vt:lpstr>
      <vt:lpstr>verz_die_bestel_groot</vt:lpstr>
      <vt:lpstr>verz_die_bestel_klein</vt:lpstr>
      <vt:lpstr>verz_die_bestel_middel</vt:lpstr>
      <vt:lpstr>verz_die_C</vt:lpstr>
      <vt:lpstr>verz_die_D</vt:lpstr>
      <vt:lpstr>verz_die_E</vt:lpstr>
      <vt:lpstr>verz_die_F</vt:lpstr>
      <vt:lpstr>verz_die_J</vt:lpstr>
      <vt:lpstr>verz_die_L</vt:lpstr>
      <vt:lpstr>verz_die_M</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TCO Tool voor dienstvoertuigen</dc:title>
  <dc:creator>PIANOo</dc:creator>
  <cp:keywords>MVI</cp:keywords>
  <cp:lastModifiedBy>Bart Luteijn</cp:lastModifiedBy>
  <cp:revision/>
  <dcterms:created xsi:type="dcterms:W3CDTF">2018-08-02T09:33:14Z</dcterms:created>
  <dcterms:modified xsi:type="dcterms:W3CDTF">2018-12-05T09:28:56Z</dcterms:modified>
  <cp:category>CO2-neutrale voertuigen, dienstvoertuigen, zero emissie, verduurzamen</cp:category>
</cp:coreProperties>
</file>